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9.xml.rels" ContentType="application/vnd.openxmlformats-package.relationships+xml"/>
  <Override PartName="/xl/worksheets/_rels/sheet8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2.jpeg" ContentType="image/jpeg"/>
  <Override PartName="/xl/media/image1.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INSTRUÇÕES" sheetId="1" state="visible" r:id="rId2"/>
    <sheet name="PARÂMETROS" sheetId="2" state="visible" r:id="rId3"/>
    <sheet name="CANTEIRO" sheetId="3" state="visible" r:id="rId4"/>
    <sheet name="PREÇOS" sheetId="4" state="visible" r:id="rId5"/>
    <sheet name="COMPOSIÇÕES" sheetId="5" state="visible" r:id="rId6"/>
    <sheet name="INSUMOS" sheetId="6" state="visible" r:id="rId7"/>
    <sheet name="MO E EQ" sheetId="7" state="visible" r:id="rId8"/>
    <sheet name="PAREDES CONVENCIONAL" sheetId="8" state="visible" r:id="rId9"/>
    <sheet name="PAREDES CASA FÁCIL" sheetId="9" state="visible" r:id="rId10"/>
  </sheets>
  <definedNames>
    <definedName function="false" hidden="false" localSheetId="1" name="_xlnm.Print_Area" vbProcedure="false">PARÂMETROS!$B$2:$G$13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<sst xmlns="http://schemas.openxmlformats.org/spreadsheetml/2006/main" count="386" uniqueCount="206">
  <si>
    <t xml:space="preserve">INSTRUÇÕES</t>
  </si>
  <si>
    <t xml:space="preserve">Na planilha Excel são disponibilizadas 9 abas. Nelas podem ser feitas alterações em todas as células que tenham fundo cor cinza. Por exemplo, na segunda aba "Parâmetros", clicando-se na célula D6, aparece do lado direito uma seta com 5 possibilidades (100, 200, 300, 400 e 500). Da mesma forma, clicando-se na célula D7, também aparece uma seta com outras 5 possibilidades (1, 2, 3, 3 e meia, 4). A célua D8 altera o percentual de Leis Sociais que cada empresa usa para seus orçamentos. Nas demais abas, pode se alterar preços, índices e áreas. Não se esqueça de clicar em HABILITAR EDIÇÃO caso seja necessário.</t>
  </si>
  <si>
    <t xml:space="preserve">CASA FÁCIL </t>
  </si>
  <si>
    <t xml:space="preserve">x</t>
  </si>
  <si>
    <t xml:space="preserve">CASA CONVENCIONAL</t>
  </si>
  <si>
    <t xml:space="preserve">SELECIONE OS PARÂMETROS</t>
  </si>
  <si>
    <t xml:space="preserve">Quantidade de Casas</t>
  </si>
  <si>
    <t xml:space="preserve">Produção Diária (Casas/ dia)</t>
  </si>
  <si>
    <t xml:space="preserve">Quantidade de Casas:</t>
  </si>
  <si>
    <t xml:space="preserve">Produção Diária (Casas/ dia):</t>
  </si>
  <si>
    <t xml:space="preserve">Leis Sociais:</t>
  </si>
  <si>
    <t xml:space="preserve">ECONOMIA POR CASA*</t>
  </si>
  <si>
    <t xml:space="preserve">1ª OBRA</t>
  </si>
  <si>
    <t xml:space="preserve">2ª OBRA</t>
  </si>
  <si>
    <t xml:space="preserve">* Valores relativos à construção das paredes com esquadrias, tubulações de hidráulica e elétrica embutidas.</t>
  </si>
  <si>
    <t xml:space="preserve">DETALHAMENTO*</t>
  </si>
  <si>
    <t xml:space="preserve">QUADRO COMPARATIVO POR CASA*</t>
  </si>
  <si>
    <t xml:space="preserve">Descrição</t>
  </si>
  <si>
    <t xml:space="preserve">Casa Convencional</t>
  </si>
  <si>
    <t xml:space="preserve">Casa Fácil 1ª Obra</t>
  </si>
  <si>
    <t xml:space="preserve">Casa Fácil 2ª Obra</t>
  </si>
  <si>
    <t xml:space="preserve">Custos Não Perecíveis</t>
  </si>
  <si>
    <t xml:space="preserve">-</t>
  </si>
  <si>
    <t xml:space="preserve">Custos Perecíveis</t>
  </si>
  <si>
    <t xml:space="preserve">Insumos</t>
  </si>
  <si>
    <t xml:space="preserve">Mão de Obra e Equipamentos</t>
  </si>
  <si>
    <t xml:space="preserve">Custo</t>
  </si>
  <si>
    <t xml:space="preserve">Diferença</t>
  </si>
  <si>
    <t xml:space="preserve">%</t>
  </si>
  <si>
    <t xml:space="preserve">* Observe planilhas para inserção de dados.</t>
  </si>
  <si>
    <t xml:space="preserve">CUSTOS DE IMPLANTAÇÃO DO CANTEIRO CASA FÁCIL</t>
  </si>
  <si>
    <t xml:space="preserve">PERECÍVEIS 
(Irrecuperáveis)</t>
  </si>
  <si>
    <t xml:space="preserve">NÃO PERECÍVEIS 
(Reaproveitáveis em outras obras por serem peças metálicas)</t>
  </si>
  <si>
    <t xml:space="preserve">Terraplenagem (100 x 45 m)</t>
  </si>
  <si>
    <t xml:space="preserve">Chaparia 1,5 mm</t>
  </si>
  <si>
    <t xml:space="preserve">Pistas de pré-fabricação</t>
  </si>
  <si>
    <t xml:space="preserve">Formas metálicas</t>
  </si>
  <si>
    <t xml:space="preserve">Bica Corrida (Forração)</t>
  </si>
  <si>
    <t xml:space="preserve">Prateleiras estoque aço </t>
  </si>
  <si>
    <t xml:space="preserve">Drenagem</t>
  </si>
  <si>
    <t xml:space="preserve">Cavalete de transporte</t>
  </si>
  <si>
    <t xml:space="preserve">TOTAL</t>
  </si>
  <si>
    <t xml:space="preserve">Boquilhas (3) fazer tijolos</t>
  </si>
  <si>
    <t xml:space="preserve">Eventuais (5 %) </t>
  </si>
  <si>
    <t xml:space="preserve">Por casa</t>
  </si>
  <si>
    <t xml:space="preserve">Montantes fixadores </t>
  </si>
  <si>
    <t xml:space="preserve">Cangas 60 x </t>
  </si>
  <si>
    <t xml:space="preserve">Escoras metálicas 60 x </t>
  </si>
  <si>
    <t xml:space="preserve">Balancim</t>
  </si>
  <si>
    <t xml:space="preserve">Gabarito de locação </t>
  </si>
  <si>
    <t xml:space="preserve">Réguas metalon (face inferior) </t>
  </si>
  <si>
    <t xml:space="preserve">Réguas de alumínio (face superior)</t>
  </si>
  <si>
    <t xml:space="preserve">Cavaletes desmoldante</t>
  </si>
  <si>
    <t xml:space="preserve">Cavaletes água</t>
  </si>
  <si>
    <t xml:space="preserve">Galgas espaçadoras de tijolos</t>
  </si>
  <si>
    <t xml:space="preserve">Gabaritos para esquadrias</t>
  </si>
  <si>
    <t xml:space="preserve">Formas para corpos de prova</t>
  </si>
  <si>
    <t xml:space="preserve">Escadas para montagem</t>
  </si>
  <si>
    <t xml:space="preserve">PREÇOS UNITÁRIOS</t>
  </si>
  <si>
    <t xml:space="preserve">Salário Mensal</t>
  </si>
  <si>
    <t xml:space="preserve">Custo Hora</t>
  </si>
  <si>
    <t xml:space="preserve">Quantidade</t>
  </si>
  <si>
    <t xml:space="preserve">Oficial</t>
  </si>
  <si>
    <t xml:space="preserve">Horas Semanais</t>
  </si>
  <si>
    <t xml:space="preserve">Servente</t>
  </si>
  <si>
    <t xml:space="preserve">Dias Semana</t>
  </si>
  <si>
    <t xml:space="preserve">Dupla (Oficial + Servente)</t>
  </si>
  <si>
    <t xml:space="preserve">Horas/dia</t>
  </si>
  <si>
    <t xml:space="preserve">Horas Mensal</t>
  </si>
  <si>
    <t xml:space="preserve">Materiais</t>
  </si>
  <si>
    <t xml:space="preserve">Unidade</t>
  </si>
  <si>
    <t xml:space="preserve">Custo Unitário</t>
  </si>
  <si>
    <t xml:space="preserve">Semanas/mês</t>
  </si>
  <si>
    <t xml:space="preserve">Tijolo 8 furos</t>
  </si>
  <si>
    <t xml:space="preserve">un</t>
  </si>
  <si>
    <t xml:space="preserve">Tijolo 6 furos</t>
  </si>
  <si>
    <t xml:space="preserve">Área (m²)</t>
  </si>
  <si>
    <t xml:space="preserve">Tijolo 4 furos</t>
  </si>
  <si>
    <t xml:space="preserve">Casa Convencional com aberturas</t>
  </si>
  <si>
    <t xml:space="preserve">Tijolo furado 9 x 19 x 29</t>
  </si>
  <si>
    <t xml:space="preserve">Casa Convencional sem aberturas</t>
  </si>
  <si>
    <t xml:space="preserve">Cimento CP II (50 kg)</t>
  </si>
  <si>
    <t xml:space="preserve">kg</t>
  </si>
  <si>
    <t xml:space="preserve">Casa Fácil com aberturas</t>
  </si>
  <si>
    <t xml:space="preserve">Cimento CP V (40 kg)</t>
  </si>
  <si>
    <t xml:space="preserve">Casa Fácill sem aberturas</t>
  </si>
  <si>
    <t xml:space="preserve">Brita 0</t>
  </si>
  <si>
    <t xml:space="preserve">m³</t>
  </si>
  <si>
    <t xml:space="preserve">Brita 1</t>
  </si>
  <si>
    <t xml:space="preserve">Areia Média Lavada</t>
  </si>
  <si>
    <t xml:space="preserve">Areia Fina Lavada</t>
  </si>
  <si>
    <t xml:space="preserve">Aço CA-60/CA-50/CA-25</t>
  </si>
  <si>
    <t xml:space="preserve">Treliça H6</t>
  </si>
  <si>
    <t xml:space="preserve">Delta-mold</t>
  </si>
  <si>
    <t xml:space="preserve">litro</t>
  </si>
  <si>
    <t xml:space="preserve">Chumbador PBA</t>
  </si>
  <si>
    <t xml:space="preserve">Peça</t>
  </si>
  <si>
    <t xml:space="preserve">Apôios</t>
  </si>
  <si>
    <t xml:space="preserve">Eletrodos</t>
  </si>
  <si>
    <t xml:space="preserve">Super Cal</t>
  </si>
  <si>
    <t xml:space="preserve">Saco 15 kg</t>
  </si>
  <si>
    <t xml:space="preserve">Expansor</t>
  </si>
  <si>
    <t xml:space="preserve">Prego</t>
  </si>
  <si>
    <t xml:space="preserve">Madeira de Lei</t>
  </si>
  <si>
    <t xml:space="preserve">Bloco Canaleta 9 x 19 x 19</t>
  </si>
  <si>
    <t xml:space="preserve">Tábua de lei 30cm</t>
  </si>
  <si>
    <t xml:space="preserve">m</t>
  </si>
  <si>
    <t xml:space="preserve">Equipamentos</t>
  </si>
  <si>
    <t xml:space="preserve">Guindaste 18 ton/metro</t>
  </si>
  <si>
    <t xml:space="preserve">Mês</t>
  </si>
  <si>
    <t xml:space="preserve">Caminhão trucado traçado</t>
  </si>
  <si>
    <t xml:space="preserve">Gerador com conversor de solda</t>
  </si>
  <si>
    <t xml:space="preserve">Caminhões</t>
  </si>
  <si>
    <t xml:space="preserve">Andaimes</t>
  </si>
  <si>
    <t xml:space="preserve">DETALHE COMPOSIÇÕES MATERIAIS</t>
  </si>
  <si>
    <t xml:space="preserve">Casa Fácil</t>
  </si>
  <si>
    <t xml:space="preserve">Composição</t>
  </si>
  <si>
    <t xml:space="preserve">Descrição Material</t>
  </si>
  <si>
    <t xml:space="preserve">Índice</t>
  </si>
  <si>
    <t xml:space="preserve">Custo Total</t>
  </si>
  <si>
    <t xml:space="preserve">Tijolo Casa Fácil</t>
  </si>
  <si>
    <t xml:space="preserve">m²</t>
  </si>
  <si>
    <t xml:space="preserve">Argamassa 1:1:8</t>
  </si>
  <si>
    <t xml:space="preserve">Argamassa 202kg/m³</t>
  </si>
  <si>
    <t xml:space="preserve">Verga e Contra-verga</t>
  </si>
  <si>
    <t xml:space="preserve">Concreto</t>
  </si>
  <si>
    <t xml:space="preserve">Concreto Fck 20 MPa preparado in loco</t>
  </si>
  <si>
    <t xml:space="preserve">Argamassa cimento e areia 1:4 com expansor </t>
  </si>
  <si>
    <t xml:space="preserve">Forma de madeira 1 Utilização</t>
  </si>
  <si>
    <t xml:space="preserve">TOTAL (10 UTILIZAÇÕES) *0,51</t>
  </si>
  <si>
    <t xml:space="preserve">Cintamento</t>
  </si>
  <si>
    <t xml:space="preserve">INSUMOS POR CASA</t>
  </si>
  <si>
    <t xml:space="preserve">CASA FÁCIL</t>
  </si>
  <si>
    <t xml:space="preserve">CONVENCIONAL</t>
  </si>
  <si>
    <t xml:space="preserve">Custo por m²</t>
  </si>
  <si>
    <t xml:space="preserve">TOTAL </t>
  </si>
  <si>
    <t xml:space="preserve">TOTAL + PERDAS 18%</t>
  </si>
  <si>
    <t xml:space="preserve">TOTAL PAREDES</t>
  </si>
  <si>
    <t xml:space="preserve">1- Os quantitativos utilizados para a comparação foram os da casa do Residencial Nova Três Corações, em Três Corações-MG, obra do Minha Casa Minha Vida, com área de 41,01 m2.
2- Os revestimentos considerados foram de 10 mm em cada face para o Casa Fácil e 25 mm em cada face para o Convencional.                                                                                                                                
3- As áreas para os cálculos foram:                                                                                                       
Convencional com aberturas     116,61 m2                                                                          
Convencional sem aberturas     98,79 m2                                                                                            
Casa Fácil com aberturas             113,97 m2                                                                                                         
Casa Fácil sem aberturas             96,15 m2                                                                                                           
4- A diferença de áreas vista acima refere-se ao fato das paredes do convencional terem espessura de 14 cm, enquanto no Casa Fácil esta espessura ser de 11 cm. Além disto, as paredes do processo são fabricadas 6 cm mais curtas  que as dimensões de projeto, espaços a serem preenchidos após a montagem conforme se nota no segundo ítem de insumos do Casa Fácil.                                                                                                         
5- As áreas de telhado e radier são diminuidas de 2,4%                                                                                                              
6- A área construída diminui e a área útil aumenta.
</t>
  </si>
  <si>
    <t xml:space="preserve">TOTAL PAREDES + PERDAS 2%</t>
  </si>
  <si>
    <t xml:space="preserve">ARREMATES LOCAIS</t>
  </si>
  <si>
    <t xml:space="preserve">TOTAL ARREMATE + PERDAS 15%</t>
  </si>
  <si>
    <t xml:space="preserve">DIFERENÇA POR CASA</t>
  </si>
  <si>
    <t xml:space="preserve">MÃO DE OBRA E EQUIPAMENTOS</t>
  </si>
  <si>
    <t xml:space="preserve">CASA CONVENCIONAL </t>
  </si>
  <si>
    <t xml:space="preserve">Índice MO (h)</t>
  </si>
  <si>
    <t xml:space="preserve">Custo MO</t>
  </si>
  <si>
    <t xml:space="preserve">Descrição Atividade</t>
  </si>
  <si>
    <t xml:space="preserve">Função</t>
  </si>
  <si>
    <t xml:space="preserve">Equipe de fabricação</t>
  </si>
  <si>
    <t xml:space="preserve">Alvenaria (Não descontar as aberturas menores que 2,0 m2) </t>
  </si>
  <si>
    <t xml:space="preserve">Pedreiro</t>
  </si>
  <si>
    <t xml:space="preserve">Encarregado</t>
  </si>
  <si>
    <t xml:space="preserve">Bombeiro</t>
  </si>
  <si>
    <t xml:space="preserve">Chapisco (Duas vezes a alvenaria) </t>
  </si>
  <si>
    <t xml:space="preserve">Armador</t>
  </si>
  <si>
    <t xml:space="preserve">Emboço Paulista (Duas vezes a alvenaria) </t>
  </si>
  <si>
    <t xml:space="preserve">Servente (Pista )</t>
  </si>
  <si>
    <t xml:space="preserve">Servente (Argamassa e Concreto)</t>
  </si>
  <si>
    <t xml:space="preserve">Vergas e contra-vergas</t>
  </si>
  <si>
    <t xml:space="preserve">Servente (Chaparia)</t>
  </si>
  <si>
    <t xml:space="preserve">Instalações elétricas (parte embutida nas paredes)</t>
  </si>
  <si>
    <t xml:space="preserve">Eletricista</t>
  </si>
  <si>
    <t xml:space="preserve">Serventes (Kits)</t>
  </si>
  <si>
    <t xml:space="preserve">Instalações hidro-sanitárias (parte embutida nas paredes)</t>
  </si>
  <si>
    <t xml:space="preserve">Encanador</t>
  </si>
  <si>
    <t xml:space="preserve">Serventes ( Betoneiras )</t>
  </si>
  <si>
    <t xml:space="preserve">Assentamento de esquadrias</t>
  </si>
  <si>
    <t xml:space="preserve">h</t>
  </si>
  <si>
    <t xml:space="preserve">Serventes (Corte de Tijolos)</t>
  </si>
  <si>
    <t xml:space="preserve">Serventes (Limpeza)</t>
  </si>
  <si>
    <t xml:space="preserve">Custo Total Mão de Obra por casa</t>
  </si>
  <si>
    <t xml:space="preserve">EQUIPAMENTOS CASA CONVENCIONAL</t>
  </si>
  <si>
    <t xml:space="preserve">Equipe de montagem</t>
  </si>
  <si>
    <t xml:space="preserve">Soldador</t>
  </si>
  <si>
    <t xml:space="preserve">Caminhão</t>
  </si>
  <si>
    <t xml:space="preserve">Servente ( Caminhão )</t>
  </si>
  <si>
    <t xml:space="preserve">Andaime</t>
  </si>
  <si>
    <t xml:space="preserve">Servente ( Montagem )</t>
  </si>
  <si>
    <t xml:space="preserve">Custo Equipamentos por dia (22 dias)</t>
  </si>
  <si>
    <t xml:space="preserve">Equipe de acabamento (Um dia e meio)</t>
  </si>
  <si>
    <t xml:space="preserve">Custo Total Caminhão por casa</t>
  </si>
  <si>
    <t xml:space="preserve">Produção Diária (Casas/dia)</t>
  </si>
  <si>
    <t xml:space="preserve">Serventes</t>
  </si>
  <si>
    <t xml:space="preserve">EQUIPAMENTOS CASA FÁCIL</t>
  </si>
  <si>
    <t xml:space="preserve">Custo Total por casa</t>
  </si>
  <si>
    <t xml:space="preserve">CUSTO TOTAL POR DIA</t>
  </si>
  <si>
    <t xml:space="preserve">Custo Fixo</t>
  </si>
  <si>
    <t xml:space="preserve">Custo Total por dia</t>
  </si>
  <si>
    <t xml:space="preserve">ÁREA PAREDES CASA CONVENCIONAL</t>
  </si>
  <si>
    <t xml:space="preserve">Áreas sem abertura</t>
  </si>
  <si>
    <t xml:space="preserve">Áreas com abertura</t>
  </si>
  <si>
    <t xml:space="preserve">Esquadrias</t>
  </si>
  <si>
    <t xml:space="preserve">Altura (m)</t>
  </si>
  <si>
    <t xml:space="preserve">Largura (m)</t>
  </si>
  <si>
    <t xml:space="preserve">Qtde</t>
  </si>
  <si>
    <t xml:space="preserve">Alvenaria</t>
  </si>
  <si>
    <t xml:space="preserve">Parede</t>
  </si>
  <si>
    <t xml:space="preserve">Chapisco</t>
  </si>
  <si>
    <t xml:space="preserve">Emboço</t>
  </si>
  <si>
    <t xml:space="preserve">Parede (2x)</t>
  </si>
  <si>
    <t xml:space="preserve">Oitão</t>
  </si>
  <si>
    <t xml:space="preserve">Total</t>
  </si>
  <si>
    <t xml:space="preserve">Total (2x)</t>
  </si>
  <si>
    <t xml:space="preserve">ÁREA PAREDES CASA FÁCIL</t>
  </si>
  <si>
    <t xml:space="preserve">Parede (3x)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</si>
</sst>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0.0"/>
    <numFmt numFmtId="166" formatCode="0%"/>
    <numFmt numFmtId="167" formatCode="_-* #,##0.00_-;\-* #,##0.00_-;_-* \-??_-;_-@_-"/>
    <numFmt numFmtId="168" formatCode="&quot;R$ &quot;#,##0.00;[RED]&quot;-R$ &quot;#,##0.00"/>
    <numFmt numFmtId="169" formatCode="0.00%\ ;[RED]\-0.00\ %"/>
    <numFmt numFmtId="170" formatCode="&quot;R$ &quot;#,##0.00"/>
    <numFmt numFmtId="171" formatCode="_-&quot;R$ &quot;* #,##0.00_-;&quot;-R$ &quot;* #,##0.00_-;_-&quot;R$ &quot;* \-??_-;_-@_-"/>
    <numFmt numFmtId="172" formatCode="_-* #,##0.000_-;\-* #,##0.000_-;_-* \-??_-;_-@_-"/>
    <numFmt numFmtId="173" formatCode="_-* #,##0.0000_-;\-* #,##0.0000_-;_-* \-??_-;_-@_-"/>
    <numFmt numFmtId="174" formatCode="_-* #,##0.0000_-;\-* #,##0.0000_-;_-* \-????_-;_-@_-"/>
    <numFmt numFmtId="175" formatCode="0.00"/>
    <numFmt numFmtId="176" formatCode="0.00&quot; m²&quot;"/>
    <numFmt numFmtId="177" formatCode="_-* #,##0_-;\-* #,##0_-;_-* \-??_-;_-@_-"/>
    <numFmt numFmtId="178" formatCode="0.00&quot; m&quot;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u val="single"/>
      <sz val="11"/>
      <color rgb="FF0000FF"/>
      <name val="Calibri"/>
      <family val="2"/>
      <charset val="1"/>
    </font>
    <font>
      <u val="single"/>
      <sz val="14"/>
      <color rgb="FF0000FF"/>
      <name val="Calibri"/>
      <family val="2"/>
      <charset val="1"/>
    </font>
    <font>
      <b val="true"/>
      <u val="single"/>
      <sz val="14"/>
      <color rgb="FF0000FF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b val="true"/>
      <sz val="20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3" borderId="10" xfId="19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3" fillId="0" borderId="1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3" fillId="0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1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1" fillId="0" borderId="1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1" fillId="0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2" borderId="0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15" fillId="2" borderId="0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1" fontId="0" fillId="2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2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1" fillId="2" borderId="1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3" borderId="1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1" fontId="0" fillId="2" borderId="1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3" borderId="10" xfId="17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0" fillId="2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0" fillId="2" borderId="1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1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3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0" fillId="3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71" fontId="11" fillId="2" borderId="1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0" fillId="3" borderId="10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1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1" fillId="2" borderId="1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2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0" fillId="3" borderId="10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1" fontId="0" fillId="2" borderId="1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0" fillId="2" borderId="1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2" borderId="10" xfId="17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11" fillId="2" borderId="1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11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2" borderId="10" xfId="0" applyFont="fals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3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0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1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0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2" borderId="2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5" fontId="18" fillId="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3" borderId="1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2" borderId="2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5" fontId="0" fillId="2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0" fillId="2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3" borderId="1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8" fillId="3" borderId="10" xfId="1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18" fillId="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8" fillId="3" borderId="10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2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1" fillId="2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1" fillId="2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1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1" fillId="2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1" fillId="2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1" fillId="2" borderId="28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2" borderId="2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1" fillId="2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2" borderId="3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1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3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2" borderId="24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6" fontId="11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6" fontId="11" fillId="0" borderId="1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3" borderId="19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3" borderId="1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7" fontId="0" fillId="3" borderId="1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7" fontId="0" fillId="3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8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8" fontId="0" fillId="3" borderId="1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8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6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6" fontId="1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8" fontId="0" fillId="3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7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343080</xdr:colOff>
      <xdr:row>1</xdr:row>
      <xdr:rowOff>92520</xdr:rowOff>
    </xdr:from>
    <xdr:to>
      <xdr:col>2</xdr:col>
      <xdr:colOff>680760</xdr:colOff>
      <xdr:row>1</xdr:row>
      <xdr:rowOff>612000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947520" y="292320"/>
          <a:ext cx="942120" cy="519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183960</xdr:colOff>
      <xdr:row>1</xdr:row>
      <xdr:rowOff>152280</xdr:rowOff>
    </xdr:from>
    <xdr:to>
      <xdr:col>2</xdr:col>
      <xdr:colOff>1454040</xdr:colOff>
      <xdr:row>4</xdr:row>
      <xdr:rowOff>237600</xdr:rowOff>
    </xdr:to>
    <xdr:pic>
      <xdr:nvPicPr>
        <xdr:cNvPr id="1" name="Imagem 1" descr=""/>
        <xdr:cNvPicPr/>
      </xdr:nvPicPr>
      <xdr:blipFill>
        <a:blip r:embed="rId1"/>
        <a:stretch/>
      </xdr:blipFill>
      <xdr:spPr>
        <a:xfrm>
          <a:off x="1221480" y="456840"/>
          <a:ext cx="1501920" cy="799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104760</xdr:colOff>
      <xdr:row>15</xdr:row>
      <xdr:rowOff>104760</xdr:rowOff>
    </xdr:from>
    <xdr:to>
      <xdr:col>5</xdr:col>
      <xdr:colOff>570960</xdr:colOff>
      <xdr:row>19</xdr:row>
      <xdr:rowOff>132840</xdr:rowOff>
    </xdr:to>
    <xdr:sp>
      <xdr:nvSpPr>
        <xdr:cNvPr id="2" name="CustomShape 1"/>
        <xdr:cNvSpPr/>
      </xdr:nvSpPr>
      <xdr:spPr>
        <a:xfrm>
          <a:off x="1595520" y="3400200"/>
          <a:ext cx="1846800" cy="809280"/>
        </a:xfrm>
        <a:prstGeom prst="rect">
          <a:avLst/>
        </a:prstGeom>
        <a:ln>
          <a:solidFill>
            <a:srgbClr val="4a7ebb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/>
      </xdr:style>
    </xdr:sp>
    <xdr:clientData/>
  </xdr:twoCellAnchor>
  <xdr:twoCellAnchor editAs="oneCell">
    <xdr:from>
      <xdr:col>17</xdr:col>
      <xdr:colOff>276120</xdr:colOff>
      <xdr:row>16</xdr:row>
      <xdr:rowOff>9360</xdr:rowOff>
    </xdr:from>
    <xdr:to>
      <xdr:col>20</xdr:col>
      <xdr:colOff>113760</xdr:colOff>
      <xdr:row>18</xdr:row>
      <xdr:rowOff>142200</xdr:rowOff>
    </xdr:to>
    <xdr:sp>
      <xdr:nvSpPr>
        <xdr:cNvPr id="3" name="CustomShape 1"/>
        <xdr:cNvSpPr/>
      </xdr:nvSpPr>
      <xdr:spPr>
        <a:xfrm>
          <a:off x="10291320" y="3495240"/>
          <a:ext cx="1752120" cy="533160"/>
        </a:xfrm>
        <a:prstGeom prst="triangle">
          <a:avLst>
            <a:gd name="adj" fmla="val 50000"/>
          </a:avLst>
        </a:prstGeom>
        <a:ln>
          <a:solidFill>
            <a:srgbClr val="be4b48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/>
      </xdr:style>
    </xdr:sp>
    <xdr:clientData/>
  </xdr:twoCellAnchor>
  <xdr:twoCellAnchor editAs="oneCell">
    <xdr:from>
      <xdr:col>6</xdr:col>
      <xdr:colOff>571680</xdr:colOff>
      <xdr:row>12</xdr:row>
      <xdr:rowOff>171360</xdr:rowOff>
    </xdr:from>
    <xdr:to>
      <xdr:col>14</xdr:col>
      <xdr:colOff>571320</xdr:colOff>
      <xdr:row>32</xdr:row>
      <xdr:rowOff>37800</xdr:rowOff>
    </xdr:to>
    <xdr:sp>
      <xdr:nvSpPr>
        <xdr:cNvPr id="4" name="CustomShape 1"/>
        <xdr:cNvSpPr/>
      </xdr:nvSpPr>
      <xdr:spPr>
        <a:xfrm>
          <a:off x="4107960" y="2895480"/>
          <a:ext cx="4996800" cy="3800160"/>
        </a:xfrm>
        <a:prstGeom prst="rect">
          <a:avLst/>
        </a:prstGeom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7</xdr:col>
      <xdr:colOff>47520</xdr:colOff>
      <xdr:row>13</xdr:row>
      <xdr:rowOff>76320</xdr:rowOff>
    </xdr:from>
    <xdr:to>
      <xdr:col>9</xdr:col>
      <xdr:colOff>399600</xdr:colOff>
      <xdr:row>22</xdr:row>
      <xdr:rowOff>104400</xdr:rowOff>
    </xdr:to>
    <xdr:sp>
      <xdr:nvSpPr>
        <xdr:cNvPr id="5" name="CustomShape 1"/>
        <xdr:cNvSpPr/>
      </xdr:nvSpPr>
      <xdr:spPr>
        <a:xfrm>
          <a:off x="4248360" y="2990880"/>
          <a:ext cx="1480680" cy="1790280"/>
        </a:xfrm>
        <a:prstGeom prst="rect">
          <a:avLst/>
        </a:prstGeom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7</xdr:col>
      <xdr:colOff>47520</xdr:colOff>
      <xdr:row>23</xdr:row>
      <xdr:rowOff>38160</xdr:rowOff>
    </xdr:from>
    <xdr:to>
      <xdr:col>11</xdr:col>
      <xdr:colOff>151920</xdr:colOff>
      <xdr:row>31</xdr:row>
      <xdr:rowOff>142560</xdr:rowOff>
    </xdr:to>
    <xdr:sp>
      <xdr:nvSpPr>
        <xdr:cNvPr id="6" name="CustomShape 1"/>
        <xdr:cNvSpPr/>
      </xdr:nvSpPr>
      <xdr:spPr>
        <a:xfrm>
          <a:off x="4248360" y="4905360"/>
          <a:ext cx="2441880" cy="1694880"/>
        </a:xfrm>
        <a:prstGeom prst="rect">
          <a:avLst/>
        </a:prstGeom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9</xdr:col>
      <xdr:colOff>514440</xdr:colOff>
      <xdr:row>13</xdr:row>
      <xdr:rowOff>76320</xdr:rowOff>
    </xdr:from>
    <xdr:to>
      <xdr:col>11</xdr:col>
      <xdr:colOff>161640</xdr:colOff>
      <xdr:row>19</xdr:row>
      <xdr:rowOff>47520</xdr:rowOff>
    </xdr:to>
    <xdr:sp>
      <xdr:nvSpPr>
        <xdr:cNvPr id="7" name="CustomShape 1"/>
        <xdr:cNvSpPr/>
      </xdr:nvSpPr>
      <xdr:spPr>
        <a:xfrm>
          <a:off x="5843880" y="2990880"/>
          <a:ext cx="856080" cy="1133280"/>
        </a:xfrm>
        <a:prstGeom prst="rect">
          <a:avLst/>
        </a:prstGeom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9</xdr:col>
      <xdr:colOff>514440</xdr:colOff>
      <xdr:row>19</xdr:row>
      <xdr:rowOff>142920</xdr:rowOff>
    </xdr:from>
    <xdr:to>
      <xdr:col>11</xdr:col>
      <xdr:colOff>161640</xdr:colOff>
      <xdr:row>22</xdr:row>
      <xdr:rowOff>104400</xdr:rowOff>
    </xdr:to>
    <xdr:sp>
      <xdr:nvSpPr>
        <xdr:cNvPr id="8" name="CustomShape 1"/>
        <xdr:cNvSpPr/>
      </xdr:nvSpPr>
      <xdr:spPr>
        <a:xfrm>
          <a:off x="5843880" y="4219560"/>
          <a:ext cx="856080" cy="561600"/>
        </a:xfrm>
        <a:prstGeom prst="rect">
          <a:avLst/>
        </a:prstGeom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11</xdr:col>
      <xdr:colOff>257040</xdr:colOff>
      <xdr:row>13</xdr:row>
      <xdr:rowOff>95400</xdr:rowOff>
    </xdr:from>
    <xdr:to>
      <xdr:col>14</xdr:col>
      <xdr:colOff>447120</xdr:colOff>
      <xdr:row>22</xdr:row>
      <xdr:rowOff>123480</xdr:rowOff>
    </xdr:to>
    <xdr:sp>
      <xdr:nvSpPr>
        <xdr:cNvPr id="9" name="CustomShape 1"/>
        <xdr:cNvSpPr/>
      </xdr:nvSpPr>
      <xdr:spPr>
        <a:xfrm>
          <a:off x="6795360" y="3009960"/>
          <a:ext cx="2185200" cy="1790280"/>
        </a:xfrm>
        <a:prstGeom prst="rect">
          <a:avLst/>
        </a:prstGeom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11</xdr:col>
      <xdr:colOff>257040</xdr:colOff>
      <xdr:row>23</xdr:row>
      <xdr:rowOff>47520</xdr:rowOff>
    </xdr:from>
    <xdr:to>
      <xdr:col>14</xdr:col>
      <xdr:colOff>447120</xdr:colOff>
      <xdr:row>31</xdr:row>
      <xdr:rowOff>132840</xdr:rowOff>
    </xdr:to>
    <xdr:sp>
      <xdr:nvSpPr>
        <xdr:cNvPr id="10" name="CustomShape 1"/>
        <xdr:cNvSpPr/>
      </xdr:nvSpPr>
      <xdr:spPr>
        <a:xfrm>
          <a:off x="6795360" y="4914720"/>
          <a:ext cx="2185200" cy="1675800"/>
        </a:xfrm>
        <a:prstGeom prst="rect">
          <a:avLst/>
        </a:prstGeom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3</xdr:col>
      <xdr:colOff>104760</xdr:colOff>
      <xdr:row>20</xdr:row>
      <xdr:rowOff>57240</xdr:rowOff>
    </xdr:from>
    <xdr:to>
      <xdr:col>5</xdr:col>
      <xdr:colOff>570960</xdr:colOff>
      <xdr:row>20</xdr:row>
      <xdr:rowOff>57600</xdr:rowOff>
    </xdr:to>
    <xdr:sp>
      <xdr:nvSpPr>
        <xdr:cNvPr id="11" name="CustomShape 1"/>
        <xdr:cNvSpPr/>
      </xdr:nvSpPr>
      <xdr:spPr>
        <a:xfrm>
          <a:off x="1595520" y="4333680"/>
          <a:ext cx="18468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len="med" type="triangle" w="med"/>
          <a:tailEnd len="med" type="triangle" w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3</xdr:col>
      <xdr:colOff>38160</xdr:colOff>
      <xdr:row>15</xdr:row>
      <xdr:rowOff>66600</xdr:rowOff>
    </xdr:from>
    <xdr:to>
      <xdr:col>3</xdr:col>
      <xdr:colOff>38520</xdr:colOff>
      <xdr:row>19</xdr:row>
      <xdr:rowOff>142560</xdr:rowOff>
    </xdr:to>
    <xdr:sp>
      <xdr:nvSpPr>
        <xdr:cNvPr id="12" name="CustomShape 1"/>
        <xdr:cNvSpPr/>
      </xdr:nvSpPr>
      <xdr:spPr>
        <a:xfrm>
          <a:off x="1528920" y="3362040"/>
          <a:ext cx="360" cy="8571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len="med" type="triangle" w="med"/>
          <a:tailEnd len="med" type="triangle" w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17</xdr:col>
      <xdr:colOff>276120</xdr:colOff>
      <xdr:row>18</xdr:row>
      <xdr:rowOff>152280</xdr:rowOff>
    </xdr:from>
    <xdr:to>
      <xdr:col>20</xdr:col>
      <xdr:colOff>94680</xdr:colOff>
      <xdr:row>23</xdr:row>
      <xdr:rowOff>9000</xdr:rowOff>
    </xdr:to>
    <xdr:sp>
      <xdr:nvSpPr>
        <xdr:cNvPr id="13" name="CustomShape 1"/>
        <xdr:cNvSpPr/>
      </xdr:nvSpPr>
      <xdr:spPr>
        <a:xfrm>
          <a:off x="10291320" y="4038480"/>
          <a:ext cx="1733040" cy="837720"/>
        </a:xfrm>
        <a:prstGeom prst="rect">
          <a:avLst/>
        </a:prstGeom>
        <a:ln>
          <a:solidFill>
            <a:srgbClr val="be4b48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/>
      </xdr:style>
    </xdr:sp>
    <xdr:clientData/>
  </xdr:twoCellAnchor>
  <xdr:twoCellAnchor editAs="oneCell">
    <xdr:from>
      <xdr:col>20</xdr:col>
      <xdr:colOff>123120</xdr:colOff>
      <xdr:row>16</xdr:row>
      <xdr:rowOff>19080</xdr:rowOff>
    </xdr:from>
    <xdr:to>
      <xdr:col>20</xdr:col>
      <xdr:colOff>132120</xdr:colOff>
      <xdr:row>18</xdr:row>
      <xdr:rowOff>133200</xdr:rowOff>
    </xdr:to>
    <xdr:sp>
      <xdr:nvSpPr>
        <xdr:cNvPr id="14" name="CustomShape 1"/>
        <xdr:cNvSpPr/>
      </xdr:nvSpPr>
      <xdr:spPr>
        <a:xfrm flipH="1">
          <a:off x="12052800" y="3504960"/>
          <a:ext cx="9000" cy="5144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len="med" type="triangle" w="med"/>
          <a:tailEnd len="med" type="triangle" w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17</xdr:col>
      <xdr:colOff>200160</xdr:colOff>
      <xdr:row>18</xdr:row>
      <xdr:rowOff>133200</xdr:rowOff>
    </xdr:from>
    <xdr:to>
      <xdr:col>17</xdr:col>
      <xdr:colOff>200520</xdr:colOff>
      <xdr:row>23</xdr:row>
      <xdr:rowOff>37440</xdr:rowOff>
    </xdr:to>
    <xdr:sp>
      <xdr:nvSpPr>
        <xdr:cNvPr id="15" name="CustomShape 1"/>
        <xdr:cNvSpPr/>
      </xdr:nvSpPr>
      <xdr:spPr>
        <a:xfrm>
          <a:off x="10215360" y="4019400"/>
          <a:ext cx="360" cy="8852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len="med" type="triangle" w="med"/>
          <a:tailEnd len="med" type="triangle" w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7</xdr:col>
      <xdr:colOff>85680</xdr:colOff>
      <xdr:row>12</xdr:row>
      <xdr:rowOff>181080</xdr:rowOff>
    </xdr:from>
    <xdr:to>
      <xdr:col>14</xdr:col>
      <xdr:colOff>561600</xdr:colOff>
      <xdr:row>13</xdr:row>
      <xdr:rowOff>85320</xdr:rowOff>
    </xdr:to>
    <xdr:sp>
      <xdr:nvSpPr>
        <xdr:cNvPr id="16" name="CustomShape 1"/>
        <xdr:cNvSpPr/>
      </xdr:nvSpPr>
      <xdr:spPr>
        <a:xfrm>
          <a:off x="4286520" y="2905200"/>
          <a:ext cx="4808520" cy="94680"/>
        </a:xfrm>
        <a:prstGeom prst="rect">
          <a:avLst/>
        </a:prstGeom>
        <a:ln>
          <a:solidFill>
            <a:srgbClr val="4a7ebb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/>
      </xdr:style>
    </xdr:sp>
    <xdr:clientData/>
  </xdr:twoCellAnchor>
  <xdr:twoCellAnchor editAs="oneCell">
    <xdr:from>
      <xdr:col>6</xdr:col>
      <xdr:colOff>561960</xdr:colOff>
      <xdr:row>31</xdr:row>
      <xdr:rowOff>152280</xdr:rowOff>
    </xdr:from>
    <xdr:to>
      <xdr:col>14</xdr:col>
      <xdr:colOff>552240</xdr:colOff>
      <xdr:row>32</xdr:row>
      <xdr:rowOff>47160</xdr:rowOff>
    </xdr:to>
    <xdr:sp>
      <xdr:nvSpPr>
        <xdr:cNvPr id="17" name="CustomShape 1"/>
        <xdr:cNvSpPr/>
      </xdr:nvSpPr>
      <xdr:spPr>
        <a:xfrm>
          <a:off x="4098240" y="6609960"/>
          <a:ext cx="4987440" cy="95040"/>
        </a:xfrm>
        <a:prstGeom prst="rect">
          <a:avLst/>
        </a:prstGeom>
        <a:ln>
          <a:solidFill>
            <a:srgbClr val="4a7ebb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/>
      </xdr:style>
    </xdr:sp>
    <xdr:clientData/>
  </xdr:twoCellAnchor>
  <xdr:twoCellAnchor editAs="oneCell">
    <xdr:from>
      <xdr:col>6</xdr:col>
      <xdr:colOff>590400</xdr:colOff>
      <xdr:row>13</xdr:row>
      <xdr:rowOff>9360</xdr:rowOff>
    </xdr:from>
    <xdr:to>
      <xdr:col>7</xdr:col>
      <xdr:colOff>56520</xdr:colOff>
      <xdr:row>32</xdr:row>
      <xdr:rowOff>66240</xdr:rowOff>
    </xdr:to>
    <xdr:sp>
      <xdr:nvSpPr>
        <xdr:cNvPr id="18" name="CustomShape 1"/>
        <xdr:cNvSpPr/>
      </xdr:nvSpPr>
      <xdr:spPr>
        <a:xfrm>
          <a:off x="4126680" y="2923920"/>
          <a:ext cx="130680" cy="3800160"/>
        </a:xfrm>
        <a:prstGeom prst="rect">
          <a:avLst/>
        </a:prstGeom>
        <a:ln>
          <a:solidFill>
            <a:srgbClr val="be4b48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/>
      </xdr:style>
    </xdr:sp>
    <xdr:clientData/>
  </xdr:twoCellAnchor>
  <xdr:twoCellAnchor editAs="oneCell">
    <xdr:from>
      <xdr:col>14</xdr:col>
      <xdr:colOff>466560</xdr:colOff>
      <xdr:row>13</xdr:row>
      <xdr:rowOff>0</xdr:rowOff>
    </xdr:from>
    <xdr:to>
      <xdr:col>14</xdr:col>
      <xdr:colOff>551880</xdr:colOff>
      <xdr:row>32</xdr:row>
      <xdr:rowOff>47160</xdr:rowOff>
    </xdr:to>
    <xdr:sp>
      <xdr:nvSpPr>
        <xdr:cNvPr id="19" name="CustomShape 1"/>
        <xdr:cNvSpPr/>
      </xdr:nvSpPr>
      <xdr:spPr>
        <a:xfrm>
          <a:off x="9000000" y="2914560"/>
          <a:ext cx="85320" cy="3790440"/>
        </a:xfrm>
        <a:prstGeom prst="rect">
          <a:avLst/>
        </a:prstGeom>
        <a:ln>
          <a:solidFill>
            <a:srgbClr val="be4b48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/>
      </xdr:style>
    </xdr:sp>
    <xdr:clientData/>
  </xdr:twoCellAnchor>
  <xdr:twoCellAnchor editAs="oneCell">
    <xdr:from>
      <xdr:col>7</xdr:col>
      <xdr:colOff>57240</xdr:colOff>
      <xdr:row>22</xdr:row>
      <xdr:rowOff>133200</xdr:rowOff>
    </xdr:from>
    <xdr:to>
      <xdr:col>14</xdr:col>
      <xdr:colOff>437760</xdr:colOff>
      <xdr:row>23</xdr:row>
      <xdr:rowOff>28080</xdr:rowOff>
    </xdr:to>
    <xdr:sp>
      <xdr:nvSpPr>
        <xdr:cNvPr id="20" name="CustomShape 1"/>
        <xdr:cNvSpPr/>
      </xdr:nvSpPr>
      <xdr:spPr>
        <a:xfrm>
          <a:off x="4258080" y="4809960"/>
          <a:ext cx="4713120" cy="85320"/>
        </a:xfrm>
        <a:prstGeom prst="rect">
          <a:avLst/>
        </a:prstGeom>
        <a:ln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/>
      </xdr:style>
    </xdr:sp>
    <xdr:clientData/>
  </xdr:twoCellAnchor>
  <xdr:twoCellAnchor editAs="oneCell">
    <xdr:from>
      <xdr:col>11</xdr:col>
      <xdr:colOff>162000</xdr:colOff>
      <xdr:row>23</xdr:row>
      <xdr:rowOff>57240</xdr:rowOff>
    </xdr:from>
    <xdr:to>
      <xdr:col>11</xdr:col>
      <xdr:colOff>247320</xdr:colOff>
      <xdr:row>31</xdr:row>
      <xdr:rowOff>133200</xdr:rowOff>
    </xdr:to>
    <xdr:sp>
      <xdr:nvSpPr>
        <xdr:cNvPr id="21" name="CustomShape 1"/>
        <xdr:cNvSpPr/>
      </xdr:nvSpPr>
      <xdr:spPr>
        <a:xfrm>
          <a:off x="6700320" y="4924440"/>
          <a:ext cx="85320" cy="1666440"/>
        </a:xfrm>
        <a:prstGeom prst="rect">
          <a:avLst/>
        </a:prstGeom>
        <a:ln>
          <a:solidFill>
            <a:srgbClr val="98b855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/>
      </xdr:style>
    </xdr:sp>
    <xdr:clientData/>
  </xdr:twoCellAnchor>
  <xdr:twoCellAnchor editAs="oneCell">
    <xdr:from>
      <xdr:col>14</xdr:col>
      <xdr:colOff>485640</xdr:colOff>
      <xdr:row>5</xdr:row>
      <xdr:rowOff>162000</xdr:rowOff>
    </xdr:from>
    <xdr:to>
      <xdr:col>17</xdr:col>
      <xdr:colOff>285120</xdr:colOff>
      <xdr:row>10</xdr:row>
      <xdr:rowOff>9360</xdr:rowOff>
    </xdr:to>
    <xdr:sp>
      <xdr:nvSpPr>
        <xdr:cNvPr id="22" name="CustomShape 1"/>
        <xdr:cNvSpPr/>
      </xdr:nvSpPr>
      <xdr:spPr>
        <a:xfrm>
          <a:off x="9019080" y="1495440"/>
          <a:ext cx="1281240" cy="837720"/>
        </a:xfrm>
        <a:prstGeom prst="rect">
          <a:avLst/>
        </a:prstGeom>
        <a:ln>
          <a:solidFill>
            <a:srgbClr val="98b855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/>
      </xdr:style>
    </xdr:sp>
    <xdr:clientData/>
  </xdr:twoCellAnchor>
  <xdr:twoCellAnchor editAs="oneCell">
    <xdr:from>
      <xdr:col>14</xdr:col>
      <xdr:colOff>399960</xdr:colOff>
      <xdr:row>5</xdr:row>
      <xdr:rowOff>133200</xdr:rowOff>
    </xdr:from>
    <xdr:to>
      <xdr:col>14</xdr:col>
      <xdr:colOff>400320</xdr:colOff>
      <xdr:row>10</xdr:row>
      <xdr:rowOff>28080</xdr:rowOff>
    </xdr:to>
    <xdr:sp>
      <xdr:nvSpPr>
        <xdr:cNvPr id="23" name="CustomShape 1"/>
        <xdr:cNvSpPr/>
      </xdr:nvSpPr>
      <xdr:spPr>
        <a:xfrm>
          <a:off x="8933400" y="1466640"/>
          <a:ext cx="360" cy="8852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len="med" type="triangle" w="med"/>
          <a:tailEnd len="med" type="triangle" w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14</xdr:col>
      <xdr:colOff>485640</xdr:colOff>
      <xdr:row>10</xdr:row>
      <xdr:rowOff>85680</xdr:rowOff>
    </xdr:from>
    <xdr:to>
      <xdr:col>17</xdr:col>
      <xdr:colOff>294840</xdr:colOff>
      <xdr:row>10</xdr:row>
      <xdr:rowOff>86040</xdr:rowOff>
    </xdr:to>
    <xdr:sp>
      <xdr:nvSpPr>
        <xdr:cNvPr id="24" name="CustomShape 1"/>
        <xdr:cNvSpPr/>
      </xdr:nvSpPr>
      <xdr:spPr>
        <a:xfrm flipH="1">
          <a:off x="9019080" y="2409480"/>
          <a:ext cx="12909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len="med" type="triangle" w="med"/>
          <a:tailEnd len="med" type="triangle" w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18</xdr:col>
      <xdr:colOff>500040</xdr:colOff>
      <xdr:row>16</xdr:row>
      <xdr:rowOff>9360</xdr:rowOff>
    </xdr:from>
    <xdr:to>
      <xdr:col>20</xdr:col>
      <xdr:colOff>133200</xdr:colOff>
      <xdr:row>16</xdr:row>
      <xdr:rowOff>9360</xdr:rowOff>
    </xdr:to>
    <xdr:sp>
      <xdr:nvSpPr>
        <xdr:cNvPr id="25" name="Line 1"/>
        <xdr:cNvSpPr/>
      </xdr:nvSpPr>
      <xdr:spPr>
        <a:xfrm>
          <a:off x="11119680" y="3495240"/>
          <a:ext cx="943200" cy="0"/>
        </a:xfrm>
        <a:prstGeom prst="line">
          <a:avLst/>
        </a:prstGeom>
        <a:ln>
          <a:rou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9</xdr:col>
      <xdr:colOff>419040</xdr:colOff>
      <xdr:row>13</xdr:row>
      <xdr:rowOff>114120</xdr:rowOff>
    </xdr:from>
    <xdr:to>
      <xdr:col>9</xdr:col>
      <xdr:colOff>495000</xdr:colOff>
      <xdr:row>22</xdr:row>
      <xdr:rowOff>104400</xdr:rowOff>
    </xdr:to>
    <xdr:sp>
      <xdr:nvSpPr>
        <xdr:cNvPr id="26" name="CustomShape 1"/>
        <xdr:cNvSpPr/>
      </xdr:nvSpPr>
      <xdr:spPr>
        <a:xfrm>
          <a:off x="5748480" y="3028680"/>
          <a:ext cx="75960" cy="1752480"/>
        </a:xfrm>
        <a:prstGeom prst="rect">
          <a:avLst/>
        </a:prstGeom>
        <a:ln>
          <a:solidFill>
            <a:srgbClr val="7d5fa0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/>
      </xdr:style>
    </xdr:sp>
    <xdr:clientData/>
  </xdr:twoCellAnchor>
  <xdr:twoCellAnchor editAs="oneCell">
    <xdr:from>
      <xdr:col>11</xdr:col>
      <xdr:colOff>171360</xdr:colOff>
      <xdr:row>13</xdr:row>
      <xdr:rowOff>85680</xdr:rowOff>
    </xdr:from>
    <xdr:to>
      <xdr:col>11</xdr:col>
      <xdr:colOff>247320</xdr:colOff>
      <xdr:row>22</xdr:row>
      <xdr:rowOff>123480</xdr:rowOff>
    </xdr:to>
    <xdr:sp>
      <xdr:nvSpPr>
        <xdr:cNvPr id="27" name="CustomShape 1"/>
        <xdr:cNvSpPr/>
      </xdr:nvSpPr>
      <xdr:spPr>
        <a:xfrm>
          <a:off x="6709680" y="3000240"/>
          <a:ext cx="75960" cy="1800000"/>
        </a:xfrm>
        <a:prstGeom prst="rect">
          <a:avLst/>
        </a:prstGeom>
        <a:ln>
          <a:solidFill>
            <a:srgbClr val="7d5fa0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/>
      </xdr:style>
    </xdr:sp>
    <xdr:clientData/>
  </xdr:twoCellAnchor>
  <xdr:twoCellAnchor editAs="oneCell">
    <xdr:from>
      <xdr:col>3</xdr:col>
      <xdr:colOff>495360</xdr:colOff>
      <xdr:row>23</xdr:row>
      <xdr:rowOff>38160</xdr:rowOff>
    </xdr:from>
    <xdr:to>
      <xdr:col>5</xdr:col>
      <xdr:colOff>237960</xdr:colOff>
      <xdr:row>27</xdr:row>
      <xdr:rowOff>9360</xdr:rowOff>
    </xdr:to>
    <xdr:sp>
      <xdr:nvSpPr>
        <xdr:cNvPr id="28" name="CustomShape 1"/>
        <xdr:cNvSpPr/>
      </xdr:nvSpPr>
      <xdr:spPr>
        <a:xfrm>
          <a:off x="1986120" y="4905360"/>
          <a:ext cx="1123200" cy="771120"/>
        </a:xfrm>
        <a:prstGeom prst="rect">
          <a:avLst/>
        </a:prstGeom>
        <a:ln>
          <a:solidFill>
            <a:srgbClr val="7d5fa0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/>
      </xdr:style>
    </xdr:sp>
    <xdr:clientData/>
  </xdr:twoCellAnchor>
  <xdr:twoCellAnchor editAs="oneCell">
    <xdr:from>
      <xdr:col>3</xdr:col>
      <xdr:colOff>419040</xdr:colOff>
      <xdr:row>23</xdr:row>
      <xdr:rowOff>47520</xdr:rowOff>
    </xdr:from>
    <xdr:to>
      <xdr:col>3</xdr:col>
      <xdr:colOff>428040</xdr:colOff>
      <xdr:row>27</xdr:row>
      <xdr:rowOff>9000</xdr:rowOff>
    </xdr:to>
    <xdr:sp>
      <xdr:nvSpPr>
        <xdr:cNvPr id="29" name="CustomShape 1"/>
        <xdr:cNvSpPr/>
      </xdr:nvSpPr>
      <xdr:spPr>
        <a:xfrm>
          <a:off x="1909800" y="4914720"/>
          <a:ext cx="9000" cy="7614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len="med" type="triangle" w="med"/>
          <a:tailEnd len="med" type="triangle" w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3</xdr:col>
      <xdr:colOff>485640</xdr:colOff>
      <xdr:row>27</xdr:row>
      <xdr:rowOff>95400</xdr:rowOff>
    </xdr:from>
    <xdr:to>
      <xdr:col>5</xdr:col>
      <xdr:colOff>237600</xdr:colOff>
      <xdr:row>27</xdr:row>
      <xdr:rowOff>95760</xdr:rowOff>
    </xdr:to>
    <xdr:sp>
      <xdr:nvSpPr>
        <xdr:cNvPr id="30" name="CustomShape 1"/>
        <xdr:cNvSpPr/>
      </xdr:nvSpPr>
      <xdr:spPr>
        <a:xfrm flipH="1">
          <a:off x="1976400" y="5762520"/>
          <a:ext cx="113256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len="med" type="triangle" w="med"/>
          <a:tailEnd len="med" type="triangle" w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9</xdr:col>
      <xdr:colOff>523800</xdr:colOff>
      <xdr:row>19</xdr:row>
      <xdr:rowOff>57240</xdr:rowOff>
    </xdr:from>
    <xdr:to>
      <xdr:col>11</xdr:col>
      <xdr:colOff>151920</xdr:colOff>
      <xdr:row>19</xdr:row>
      <xdr:rowOff>133200</xdr:rowOff>
    </xdr:to>
    <xdr:sp>
      <xdr:nvSpPr>
        <xdr:cNvPr id="31" name="CustomShape 1"/>
        <xdr:cNvSpPr/>
      </xdr:nvSpPr>
      <xdr:spPr>
        <a:xfrm>
          <a:off x="5853240" y="4133880"/>
          <a:ext cx="837000" cy="75960"/>
        </a:xfrm>
        <a:prstGeom prst="rect">
          <a:avLst/>
        </a:prstGeom>
        <a:ln>
          <a:solidFill>
            <a:srgbClr val="f59240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/>
      </xdr:style>
    </xdr:sp>
    <xdr:clientData/>
  </xdr:twoCellAnchor>
  <xdr:twoCellAnchor editAs="oneCell">
    <xdr:from>
      <xdr:col>18</xdr:col>
      <xdr:colOff>304920</xdr:colOff>
      <xdr:row>26</xdr:row>
      <xdr:rowOff>0</xdr:rowOff>
    </xdr:from>
    <xdr:to>
      <xdr:col>19</xdr:col>
      <xdr:colOff>237960</xdr:colOff>
      <xdr:row>29</xdr:row>
      <xdr:rowOff>190080</xdr:rowOff>
    </xdr:to>
    <xdr:sp>
      <xdr:nvSpPr>
        <xdr:cNvPr id="32" name="CustomShape 1"/>
        <xdr:cNvSpPr/>
      </xdr:nvSpPr>
      <xdr:spPr>
        <a:xfrm>
          <a:off x="10924560" y="5467320"/>
          <a:ext cx="537480" cy="789840"/>
        </a:xfrm>
        <a:prstGeom prst="rect">
          <a:avLst/>
        </a:prstGeom>
        <a:ln>
          <a:solidFill>
            <a:srgbClr val="f59240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/>
      </xdr:style>
    </xdr:sp>
    <xdr:clientData/>
  </xdr:twoCellAnchor>
  <xdr:twoCellAnchor editAs="oneCell">
    <xdr:from>
      <xdr:col>18</xdr:col>
      <xdr:colOff>219240</xdr:colOff>
      <xdr:row>26</xdr:row>
      <xdr:rowOff>19080</xdr:rowOff>
    </xdr:from>
    <xdr:to>
      <xdr:col>18</xdr:col>
      <xdr:colOff>228240</xdr:colOff>
      <xdr:row>30</xdr:row>
      <xdr:rowOff>9360</xdr:rowOff>
    </xdr:to>
    <xdr:sp>
      <xdr:nvSpPr>
        <xdr:cNvPr id="33" name="CustomShape 1"/>
        <xdr:cNvSpPr/>
      </xdr:nvSpPr>
      <xdr:spPr>
        <a:xfrm>
          <a:off x="10838880" y="5486400"/>
          <a:ext cx="9000" cy="7808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len="med" type="triangle" w="med"/>
          <a:tailEnd len="med" type="triangle" w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18</xdr:col>
      <xdr:colOff>304200</xdr:colOff>
      <xdr:row>30</xdr:row>
      <xdr:rowOff>95400</xdr:rowOff>
    </xdr:from>
    <xdr:to>
      <xdr:col>19</xdr:col>
      <xdr:colOff>246600</xdr:colOff>
      <xdr:row>30</xdr:row>
      <xdr:rowOff>95760</xdr:rowOff>
    </xdr:to>
    <xdr:sp>
      <xdr:nvSpPr>
        <xdr:cNvPr id="34" name="CustomShape 1"/>
        <xdr:cNvSpPr/>
      </xdr:nvSpPr>
      <xdr:spPr>
        <a:xfrm flipH="1">
          <a:off x="10923840" y="6353280"/>
          <a:ext cx="54684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len="med" type="triangle" w="med"/>
          <a:tailEnd len="med" type="triangle" w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104760</xdr:colOff>
      <xdr:row>15</xdr:row>
      <xdr:rowOff>104760</xdr:rowOff>
    </xdr:from>
    <xdr:to>
      <xdr:col>5</xdr:col>
      <xdr:colOff>570960</xdr:colOff>
      <xdr:row>19</xdr:row>
      <xdr:rowOff>132840</xdr:rowOff>
    </xdr:to>
    <xdr:sp>
      <xdr:nvSpPr>
        <xdr:cNvPr id="35" name="CustomShape 1"/>
        <xdr:cNvSpPr/>
      </xdr:nvSpPr>
      <xdr:spPr>
        <a:xfrm>
          <a:off x="1535400" y="3400200"/>
          <a:ext cx="1846440" cy="809280"/>
        </a:xfrm>
        <a:prstGeom prst="rect">
          <a:avLst/>
        </a:prstGeom>
        <a:ln>
          <a:solidFill>
            <a:srgbClr val="4a7ebb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/>
      </xdr:style>
    </xdr:sp>
    <xdr:clientData/>
  </xdr:twoCellAnchor>
  <xdr:twoCellAnchor editAs="oneCell">
    <xdr:from>
      <xdr:col>17</xdr:col>
      <xdr:colOff>276120</xdr:colOff>
      <xdr:row>16</xdr:row>
      <xdr:rowOff>9360</xdr:rowOff>
    </xdr:from>
    <xdr:to>
      <xdr:col>20</xdr:col>
      <xdr:colOff>113760</xdr:colOff>
      <xdr:row>18</xdr:row>
      <xdr:rowOff>142200</xdr:rowOff>
    </xdr:to>
    <xdr:sp>
      <xdr:nvSpPr>
        <xdr:cNvPr id="36" name="CustomShape 1"/>
        <xdr:cNvSpPr/>
      </xdr:nvSpPr>
      <xdr:spPr>
        <a:xfrm>
          <a:off x="10230840" y="3495240"/>
          <a:ext cx="1752120" cy="533160"/>
        </a:xfrm>
        <a:prstGeom prst="triangle">
          <a:avLst>
            <a:gd name="adj" fmla="val 50000"/>
          </a:avLst>
        </a:prstGeom>
        <a:ln>
          <a:solidFill>
            <a:srgbClr val="be4b48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/>
      </xdr:style>
    </xdr:sp>
    <xdr:clientData/>
  </xdr:twoCellAnchor>
  <xdr:twoCellAnchor editAs="oneCell">
    <xdr:from>
      <xdr:col>6</xdr:col>
      <xdr:colOff>571680</xdr:colOff>
      <xdr:row>12</xdr:row>
      <xdr:rowOff>171360</xdr:rowOff>
    </xdr:from>
    <xdr:to>
      <xdr:col>14</xdr:col>
      <xdr:colOff>571320</xdr:colOff>
      <xdr:row>32</xdr:row>
      <xdr:rowOff>37800</xdr:rowOff>
    </xdr:to>
    <xdr:sp>
      <xdr:nvSpPr>
        <xdr:cNvPr id="37" name="CustomShape 1"/>
        <xdr:cNvSpPr/>
      </xdr:nvSpPr>
      <xdr:spPr>
        <a:xfrm>
          <a:off x="4047480" y="2895480"/>
          <a:ext cx="4997160" cy="3800160"/>
        </a:xfrm>
        <a:prstGeom prst="rect">
          <a:avLst/>
        </a:prstGeom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7</xdr:col>
      <xdr:colOff>47520</xdr:colOff>
      <xdr:row>13</xdr:row>
      <xdr:rowOff>76320</xdr:rowOff>
    </xdr:from>
    <xdr:to>
      <xdr:col>9</xdr:col>
      <xdr:colOff>399600</xdr:colOff>
      <xdr:row>22</xdr:row>
      <xdr:rowOff>104400</xdr:rowOff>
    </xdr:to>
    <xdr:sp>
      <xdr:nvSpPr>
        <xdr:cNvPr id="38" name="CustomShape 1"/>
        <xdr:cNvSpPr/>
      </xdr:nvSpPr>
      <xdr:spPr>
        <a:xfrm>
          <a:off x="4188240" y="2990880"/>
          <a:ext cx="1480320" cy="1790280"/>
        </a:xfrm>
        <a:prstGeom prst="rect">
          <a:avLst/>
        </a:prstGeom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7</xdr:col>
      <xdr:colOff>47520</xdr:colOff>
      <xdr:row>23</xdr:row>
      <xdr:rowOff>38160</xdr:rowOff>
    </xdr:from>
    <xdr:to>
      <xdr:col>11</xdr:col>
      <xdr:colOff>151920</xdr:colOff>
      <xdr:row>31</xdr:row>
      <xdr:rowOff>142560</xdr:rowOff>
    </xdr:to>
    <xdr:sp>
      <xdr:nvSpPr>
        <xdr:cNvPr id="39" name="CustomShape 1"/>
        <xdr:cNvSpPr/>
      </xdr:nvSpPr>
      <xdr:spPr>
        <a:xfrm>
          <a:off x="4188240" y="4905360"/>
          <a:ext cx="2441880" cy="1694880"/>
        </a:xfrm>
        <a:prstGeom prst="rect">
          <a:avLst/>
        </a:prstGeom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9</xdr:col>
      <xdr:colOff>514440</xdr:colOff>
      <xdr:row>13</xdr:row>
      <xdr:rowOff>76320</xdr:rowOff>
    </xdr:from>
    <xdr:to>
      <xdr:col>11</xdr:col>
      <xdr:colOff>161640</xdr:colOff>
      <xdr:row>19</xdr:row>
      <xdr:rowOff>47520</xdr:rowOff>
    </xdr:to>
    <xdr:sp>
      <xdr:nvSpPr>
        <xdr:cNvPr id="40" name="CustomShape 1"/>
        <xdr:cNvSpPr/>
      </xdr:nvSpPr>
      <xdr:spPr>
        <a:xfrm>
          <a:off x="5783400" y="2990880"/>
          <a:ext cx="856440" cy="1133280"/>
        </a:xfrm>
        <a:prstGeom prst="rect">
          <a:avLst/>
        </a:prstGeom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9</xdr:col>
      <xdr:colOff>514440</xdr:colOff>
      <xdr:row>19</xdr:row>
      <xdr:rowOff>142920</xdr:rowOff>
    </xdr:from>
    <xdr:to>
      <xdr:col>11</xdr:col>
      <xdr:colOff>161640</xdr:colOff>
      <xdr:row>22</xdr:row>
      <xdr:rowOff>104400</xdr:rowOff>
    </xdr:to>
    <xdr:sp>
      <xdr:nvSpPr>
        <xdr:cNvPr id="41" name="CustomShape 1"/>
        <xdr:cNvSpPr/>
      </xdr:nvSpPr>
      <xdr:spPr>
        <a:xfrm>
          <a:off x="5783400" y="4219560"/>
          <a:ext cx="856440" cy="561600"/>
        </a:xfrm>
        <a:prstGeom prst="rect">
          <a:avLst/>
        </a:prstGeom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11</xdr:col>
      <xdr:colOff>257040</xdr:colOff>
      <xdr:row>13</xdr:row>
      <xdr:rowOff>95400</xdr:rowOff>
    </xdr:from>
    <xdr:to>
      <xdr:col>14</xdr:col>
      <xdr:colOff>447120</xdr:colOff>
      <xdr:row>22</xdr:row>
      <xdr:rowOff>123480</xdr:rowOff>
    </xdr:to>
    <xdr:sp>
      <xdr:nvSpPr>
        <xdr:cNvPr id="42" name="CustomShape 1"/>
        <xdr:cNvSpPr/>
      </xdr:nvSpPr>
      <xdr:spPr>
        <a:xfrm>
          <a:off x="6735240" y="3009960"/>
          <a:ext cx="2185200" cy="1790280"/>
        </a:xfrm>
        <a:prstGeom prst="rect">
          <a:avLst/>
        </a:prstGeom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11</xdr:col>
      <xdr:colOff>257040</xdr:colOff>
      <xdr:row>23</xdr:row>
      <xdr:rowOff>47520</xdr:rowOff>
    </xdr:from>
    <xdr:to>
      <xdr:col>14</xdr:col>
      <xdr:colOff>447120</xdr:colOff>
      <xdr:row>31</xdr:row>
      <xdr:rowOff>132840</xdr:rowOff>
    </xdr:to>
    <xdr:sp>
      <xdr:nvSpPr>
        <xdr:cNvPr id="43" name="CustomShape 1"/>
        <xdr:cNvSpPr/>
      </xdr:nvSpPr>
      <xdr:spPr>
        <a:xfrm>
          <a:off x="6735240" y="4914720"/>
          <a:ext cx="2185200" cy="1675800"/>
        </a:xfrm>
        <a:prstGeom prst="rect">
          <a:avLst/>
        </a:prstGeom>
        <a:ln>
          <a:rou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3</xdr:col>
      <xdr:colOff>104760</xdr:colOff>
      <xdr:row>20</xdr:row>
      <xdr:rowOff>57240</xdr:rowOff>
    </xdr:from>
    <xdr:to>
      <xdr:col>5</xdr:col>
      <xdr:colOff>570960</xdr:colOff>
      <xdr:row>20</xdr:row>
      <xdr:rowOff>57600</xdr:rowOff>
    </xdr:to>
    <xdr:sp>
      <xdr:nvSpPr>
        <xdr:cNvPr id="44" name="CustomShape 1"/>
        <xdr:cNvSpPr/>
      </xdr:nvSpPr>
      <xdr:spPr>
        <a:xfrm>
          <a:off x="1535400" y="4333680"/>
          <a:ext cx="184644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len="med" type="triangle" w="med"/>
          <a:tailEnd len="med" type="triangle" w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3</xdr:col>
      <xdr:colOff>38160</xdr:colOff>
      <xdr:row>15</xdr:row>
      <xdr:rowOff>66600</xdr:rowOff>
    </xdr:from>
    <xdr:to>
      <xdr:col>3</xdr:col>
      <xdr:colOff>38520</xdr:colOff>
      <xdr:row>19</xdr:row>
      <xdr:rowOff>142560</xdr:rowOff>
    </xdr:to>
    <xdr:sp>
      <xdr:nvSpPr>
        <xdr:cNvPr id="45" name="CustomShape 1"/>
        <xdr:cNvSpPr/>
      </xdr:nvSpPr>
      <xdr:spPr>
        <a:xfrm>
          <a:off x="1468800" y="3362040"/>
          <a:ext cx="360" cy="8571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len="med" type="triangle" w="med"/>
          <a:tailEnd len="med" type="triangle" w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17</xdr:col>
      <xdr:colOff>276120</xdr:colOff>
      <xdr:row>18</xdr:row>
      <xdr:rowOff>152280</xdr:rowOff>
    </xdr:from>
    <xdr:to>
      <xdr:col>20</xdr:col>
      <xdr:colOff>94680</xdr:colOff>
      <xdr:row>23</xdr:row>
      <xdr:rowOff>9000</xdr:rowOff>
    </xdr:to>
    <xdr:sp>
      <xdr:nvSpPr>
        <xdr:cNvPr id="46" name="CustomShape 1"/>
        <xdr:cNvSpPr/>
      </xdr:nvSpPr>
      <xdr:spPr>
        <a:xfrm>
          <a:off x="10230840" y="4038480"/>
          <a:ext cx="1733040" cy="837720"/>
        </a:xfrm>
        <a:prstGeom prst="rect">
          <a:avLst/>
        </a:prstGeom>
        <a:ln>
          <a:solidFill>
            <a:srgbClr val="be4b48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/>
      </xdr:style>
    </xdr:sp>
    <xdr:clientData/>
  </xdr:twoCellAnchor>
  <xdr:twoCellAnchor editAs="oneCell">
    <xdr:from>
      <xdr:col>20</xdr:col>
      <xdr:colOff>123120</xdr:colOff>
      <xdr:row>16</xdr:row>
      <xdr:rowOff>19080</xdr:rowOff>
    </xdr:from>
    <xdr:to>
      <xdr:col>20</xdr:col>
      <xdr:colOff>132120</xdr:colOff>
      <xdr:row>18</xdr:row>
      <xdr:rowOff>133200</xdr:rowOff>
    </xdr:to>
    <xdr:sp>
      <xdr:nvSpPr>
        <xdr:cNvPr id="47" name="CustomShape 1"/>
        <xdr:cNvSpPr/>
      </xdr:nvSpPr>
      <xdr:spPr>
        <a:xfrm flipH="1">
          <a:off x="11992320" y="3504960"/>
          <a:ext cx="9000" cy="5144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len="med" type="triangle" w="med"/>
          <a:tailEnd len="med" type="triangle" w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17</xdr:col>
      <xdr:colOff>200160</xdr:colOff>
      <xdr:row>18</xdr:row>
      <xdr:rowOff>133200</xdr:rowOff>
    </xdr:from>
    <xdr:to>
      <xdr:col>17</xdr:col>
      <xdr:colOff>200520</xdr:colOff>
      <xdr:row>23</xdr:row>
      <xdr:rowOff>37440</xdr:rowOff>
    </xdr:to>
    <xdr:sp>
      <xdr:nvSpPr>
        <xdr:cNvPr id="48" name="CustomShape 1"/>
        <xdr:cNvSpPr/>
      </xdr:nvSpPr>
      <xdr:spPr>
        <a:xfrm>
          <a:off x="10154880" y="4019400"/>
          <a:ext cx="360" cy="8852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len="med" type="triangle" w="med"/>
          <a:tailEnd len="med" type="triangle" w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6</xdr:col>
      <xdr:colOff>571680</xdr:colOff>
      <xdr:row>12</xdr:row>
      <xdr:rowOff>181080</xdr:rowOff>
    </xdr:from>
    <xdr:to>
      <xdr:col>14</xdr:col>
      <xdr:colOff>561960</xdr:colOff>
      <xdr:row>13</xdr:row>
      <xdr:rowOff>75960</xdr:rowOff>
    </xdr:to>
    <xdr:sp>
      <xdr:nvSpPr>
        <xdr:cNvPr id="49" name="CustomShape 1"/>
        <xdr:cNvSpPr/>
      </xdr:nvSpPr>
      <xdr:spPr>
        <a:xfrm>
          <a:off x="4047480" y="2905200"/>
          <a:ext cx="4987800" cy="85320"/>
        </a:xfrm>
        <a:prstGeom prst="rect">
          <a:avLst/>
        </a:prstGeom>
        <a:ln>
          <a:solidFill>
            <a:srgbClr val="4a7ebb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/>
      </xdr:style>
    </xdr:sp>
    <xdr:clientData/>
  </xdr:twoCellAnchor>
  <xdr:twoCellAnchor editAs="oneCell">
    <xdr:from>
      <xdr:col>6</xdr:col>
      <xdr:colOff>561960</xdr:colOff>
      <xdr:row>31</xdr:row>
      <xdr:rowOff>152280</xdr:rowOff>
    </xdr:from>
    <xdr:to>
      <xdr:col>14</xdr:col>
      <xdr:colOff>552240</xdr:colOff>
      <xdr:row>32</xdr:row>
      <xdr:rowOff>47160</xdr:rowOff>
    </xdr:to>
    <xdr:sp>
      <xdr:nvSpPr>
        <xdr:cNvPr id="50" name="CustomShape 1"/>
        <xdr:cNvSpPr/>
      </xdr:nvSpPr>
      <xdr:spPr>
        <a:xfrm>
          <a:off x="4037760" y="6609960"/>
          <a:ext cx="4987800" cy="95040"/>
        </a:xfrm>
        <a:prstGeom prst="rect">
          <a:avLst/>
        </a:prstGeom>
        <a:ln>
          <a:solidFill>
            <a:srgbClr val="4a7ebb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/>
      </xdr:style>
    </xdr:sp>
    <xdr:clientData/>
  </xdr:twoCellAnchor>
  <xdr:twoCellAnchor editAs="oneCell">
    <xdr:from>
      <xdr:col>6</xdr:col>
      <xdr:colOff>590400</xdr:colOff>
      <xdr:row>12</xdr:row>
      <xdr:rowOff>171360</xdr:rowOff>
    </xdr:from>
    <xdr:to>
      <xdr:col>7</xdr:col>
      <xdr:colOff>47160</xdr:colOff>
      <xdr:row>32</xdr:row>
      <xdr:rowOff>47160</xdr:rowOff>
    </xdr:to>
    <xdr:sp>
      <xdr:nvSpPr>
        <xdr:cNvPr id="51" name="CustomShape 1"/>
        <xdr:cNvSpPr/>
      </xdr:nvSpPr>
      <xdr:spPr>
        <a:xfrm>
          <a:off x="4066200" y="2895480"/>
          <a:ext cx="121680" cy="3809520"/>
        </a:xfrm>
        <a:prstGeom prst="rect">
          <a:avLst/>
        </a:prstGeom>
        <a:ln>
          <a:solidFill>
            <a:srgbClr val="be4b48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/>
      </xdr:style>
    </xdr:sp>
    <xdr:clientData/>
  </xdr:twoCellAnchor>
  <xdr:twoCellAnchor editAs="oneCell">
    <xdr:from>
      <xdr:col>14</xdr:col>
      <xdr:colOff>476280</xdr:colOff>
      <xdr:row>13</xdr:row>
      <xdr:rowOff>19080</xdr:rowOff>
    </xdr:from>
    <xdr:to>
      <xdr:col>14</xdr:col>
      <xdr:colOff>571320</xdr:colOff>
      <xdr:row>32</xdr:row>
      <xdr:rowOff>85320</xdr:rowOff>
    </xdr:to>
    <xdr:sp>
      <xdr:nvSpPr>
        <xdr:cNvPr id="52" name="CustomShape 1"/>
        <xdr:cNvSpPr/>
      </xdr:nvSpPr>
      <xdr:spPr>
        <a:xfrm>
          <a:off x="8949600" y="2933640"/>
          <a:ext cx="95040" cy="3809520"/>
        </a:xfrm>
        <a:prstGeom prst="rect">
          <a:avLst/>
        </a:prstGeom>
        <a:ln>
          <a:solidFill>
            <a:srgbClr val="be4b48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/>
      </xdr:style>
    </xdr:sp>
    <xdr:clientData/>
  </xdr:twoCellAnchor>
  <xdr:twoCellAnchor editAs="oneCell">
    <xdr:from>
      <xdr:col>7</xdr:col>
      <xdr:colOff>57240</xdr:colOff>
      <xdr:row>22</xdr:row>
      <xdr:rowOff>133200</xdr:rowOff>
    </xdr:from>
    <xdr:to>
      <xdr:col>14</xdr:col>
      <xdr:colOff>437760</xdr:colOff>
      <xdr:row>23</xdr:row>
      <xdr:rowOff>28080</xdr:rowOff>
    </xdr:to>
    <xdr:sp>
      <xdr:nvSpPr>
        <xdr:cNvPr id="53" name="CustomShape 1"/>
        <xdr:cNvSpPr/>
      </xdr:nvSpPr>
      <xdr:spPr>
        <a:xfrm>
          <a:off x="4197960" y="4809960"/>
          <a:ext cx="4713120" cy="85320"/>
        </a:xfrm>
        <a:prstGeom prst="rect">
          <a:avLst/>
        </a:prstGeom>
        <a:ln>
          <a:solidFill>
            <a:srgbClr val="4a7ebb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/>
      </xdr:style>
    </xdr:sp>
    <xdr:clientData/>
  </xdr:twoCellAnchor>
  <xdr:twoCellAnchor editAs="oneCell">
    <xdr:from>
      <xdr:col>11</xdr:col>
      <xdr:colOff>162000</xdr:colOff>
      <xdr:row>23</xdr:row>
      <xdr:rowOff>57240</xdr:rowOff>
    </xdr:from>
    <xdr:to>
      <xdr:col>11</xdr:col>
      <xdr:colOff>247320</xdr:colOff>
      <xdr:row>31</xdr:row>
      <xdr:rowOff>133200</xdr:rowOff>
    </xdr:to>
    <xdr:sp>
      <xdr:nvSpPr>
        <xdr:cNvPr id="54" name="CustomShape 1"/>
        <xdr:cNvSpPr/>
      </xdr:nvSpPr>
      <xdr:spPr>
        <a:xfrm>
          <a:off x="6640200" y="4924440"/>
          <a:ext cx="85320" cy="1666440"/>
        </a:xfrm>
        <a:prstGeom prst="rect">
          <a:avLst/>
        </a:prstGeom>
        <a:ln>
          <a:solidFill>
            <a:srgbClr val="98b855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/>
      </xdr:style>
    </xdr:sp>
    <xdr:clientData/>
  </xdr:twoCellAnchor>
  <xdr:twoCellAnchor editAs="oneCell">
    <xdr:from>
      <xdr:col>15</xdr:col>
      <xdr:colOff>152280</xdr:colOff>
      <xdr:row>5</xdr:row>
      <xdr:rowOff>171360</xdr:rowOff>
    </xdr:from>
    <xdr:to>
      <xdr:col>17</xdr:col>
      <xdr:colOff>523440</xdr:colOff>
      <xdr:row>10</xdr:row>
      <xdr:rowOff>18720</xdr:rowOff>
    </xdr:to>
    <xdr:sp>
      <xdr:nvSpPr>
        <xdr:cNvPr id="55" name="CustomShape 1"/>
        <xdr:cNvSpPr/>
      </xdr:nvSpPr>
      <xdr:spPr>
        <a:xfrm>
          <a:off x="9230040" y="1504800"/>
          <a:ext cx="1248120" cy="837720"/>
        </a:xfrm>
        <a:prstGeom prst="rect">
          <a:avLst/>
        </a:prstGeom>
        <a:ln>
          <a:solidFill>
            <a:srgbClr val="98b855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/>
      </xdr:style>
    </xdr:sp>
    <xdr:clientData/>
  </xdr:twoCellAnchor>
  <xdr:twoCellAnchor editAs="oneCell">
    <xdr:from>
      <xdr:col>15</xdr:col>
      <xdr:colOff>66600</xdr:colOff>
      <xdr:row>5</xdr:row>
      <xdr:rowOff>171360</xdr:rowOff>
    </xdr:from>
    <xdr:to>
      <xdr:col>15</xdr:col>
      <xdr:colOff>66960</xdr:colOff>
      <xdr:row>10</xdr:row>
      <xdr:rowOff>66240</xdr:rowOff>
    </xdr:to>
    <xdr:sp>
      <xdr:nvSpPr>
        <xdr:cNvPr id="56" name="CustomShape 1"/>
        <xdr:cNvSpPr/>
      </xdr:nvSpPr>
      <xdr:spPr>
        <a:xfrm>
          <a:off x="9144360" y="1504800"/>
          <a:ext cx="360" cy="8852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len="med" type="triangle" w="med"/>
          <a:tailEnd len="med" type="triangle" w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15</xdr:col>
      <xdr:colOff>132480</xdr:colOff>
      <xdr:row>10</xdr:row>
      <xdr:rowOff>104760</xdr:rowOff>
    </xdr:from>
    <xdr:to>
      <xdr:col>17</xdr:col>
      <xdr:colOff>513000</xdr:colOff>
      <xdr:row>10</xdr:row>
      <xdr:rowOff>105120</xdr:rowOff>
    </xdr:to>
    <xdr:sp>
      <xdr:nvSpPr>
        <xdr:cNvPr id="57" name="CustomShape 1"/>
        <xdr:cNvSpPr/>
      </xdr:nvSpPr>
      <xdr:spPr>
        <a:xfrm flipH="1">
          <a:off x="9210240" y="2428560"/>
          <a:ext cx="125748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len="med" type="triangle" w="med"/>
          <a:tailEnd len="med" type="triangle" w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18</xdr:col>
      <xdr:colOff>500040</xdr:colOff>
      <xdr:row>16</xdr:row>
      <xdr:rowOff>9360</xdr:rowOff>
    </xdr:from>
    <xdr:to>
      <xdr:col>20</xdr:col>
      <xdr:colOff>133200</xdr:colOff>
      <xdr:row>16</xdr:row>
      <xdr:rowOff>9360</xdr:rowOff>
    </xdr:to>
    <xdr:sp>
      <xdr:nvSpPr>
        <xdr:cNvPr id="58" name="Line 1"/>
        <xdr:cNvSpPr/>
      </xdr:nvSpPr>
      <xdr:spPr>
        <a:xfrm>
          <a:off x="11059200" y="3495240"/>
          <a:ext cx="943200" cy="0"/>
        </a:xfrm>
        <a:prstGeom prst="line">
          <a:avLst/>
        </a:prstGeom>
        <a:ln>
          <a:rou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9</xdr:col>
      <xdr:colOff>419040</xdr:colOff>
      <xdr:row>13</xdr:row>
      <xdr:rowOff>114120</xdr:rowOff>
    </xdr:from>
    <xdr:to>
      <xdr:col>9</xdr:col>
      <xdr:colOff>495000</xdr:colOff>
      <xdr:row>22</xdr:row>
      <xdr:rowOff>104400</xdr:rowOff>
    </xdr:to>
    <xdr:sp>
      <xdr:nvSpPr>
        <xdr:cNvPr id="59" name="CustomShape 1"/>
        <xdr:cNvSpPr/>
      </xdr:nvSpPr>
      <xdr:spPr>
        <a:xfrm>
          <a:off x="5688000" y="3028680"/>
          <a:ext cx="75960" cy="1752480"/>
        </a:xfrm>
        <a:prstGeom prst="rect">
          <a:avLst/>
        </a:prstGeom>
        <a:ln>
          <a:solidFill>
            <a:srgbClr val="7d5fa0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/>
      </xdr:style>
    </xdr:sp>
    <xdr:clientData/>
  </xdr:twoCellAnchor>
  <xdr:twoCellAnchor editAs="oneCell">
    <xdr:from>
      <xdr:col>11</xdr:col>
      <xdr:colOff>171360</xdr:colOff>
      <xdr:row>13</xdr:row>
      <xdr:rowOff>85680</xdr:rowOff>
    </xdr:from>
    <xdr:to>
      <xdr:col>11</xdr:col>
      <xdr:colOff>247320</xdr:colOff>
      <xdr:row>22</xdr:row>
      <xdr:rowOff>123480</xdr:rowOff>
    </xdr:to>
    <xdr:sp>
      <xdr:nvSpPr>
        <xdr:cNvPr id="60" name="CustomShape 1"/>
        <xdr:cNvSpPr/>
      </xdr:nvSpPr>
      <xdr:spPr>
        <a:xfrm>
          <a:off x="6649560" y="3000240"/>
          <a:ext cx="75960" cy="1800000"/>
        </a:xfrm>
        <a:prstGeom prst="rect">
          <a:avLst/>
        </a:prstGeom>
        <a:ln>
          <a:solidFill>
            <a:srgbClr val="7d5fa0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/>
      </xdr:style>
    </xdr:sp>
    <xdr:clientData/>
  </xdr:twoCellAnchor>
  <xdr:twoCellAnchor editAs="oneCell">
    <xdr:from>
      <xdr:col>3</xdr:col>
      <xdr:colOff>495360</xdr:colOff>
      <xdr:row>23</xdr:row>
      <xdr:rowOff>38160</xdr:rowOff>
    </xdr:from>
    <xdr:to>
      <xdr:col>5</xdr:col>
      <xdr:colOff>237960</xdr:colOff>
      <xdr:row>27</xdr:row>
      <xdr:rowOff>9360</xdr:rowOff>
    </xdr:to>
    <xdr:sp>
      <xdr:nvSpPr>
        <xdr:cNvPr id="61" name="CustomShape 1"/>
        <xdr:cNvSpPr/>
      </xdr:nvSpPr>
      <xdr:spPr>
        <a:xfrm>
          <a:off x="1926000" y="4905360"/>
          <a:ext cx="1122840" cy="771120"/>
        </a:xfrm>
        <a:prstGeom prst="rect">
          <a:avLst/>
        </a:prstGeom>
        <a:ln>
          <a:solidFill>
            <a:srgbClr val="7d5fa0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/>
      </xdr:style>
    </xdr:sp>
    <xdr:clientData/>
  </xdr:twoCellAnchor>
  <xdr:twoCellAnchor editAs="oneCell">
    <xdr:from>
      <xdr:col>3</xdr:col>
      <xdr:colOff>419040</xdr:colOff>
      <xdr:row>23</xdr:row>
      <xdr:rowOff>47520</xdr:rowOff>
    </xdr:from>
    <xdr:to>
      <xdr:col>3</xdr:col>
      <xdr:colOff>428040</xdr:colOff>
      <xdr:row>27</xdr:row>
      <xdr:rowOff>9000</xdr:rowOff>
    </xdr:to>
    <xdr:sp>
      <xdr:nvSpPr>
        <xdr:cNvPr id="62" name="CustomShape 1"/>
        <xdr:cNvSpPr/>
      </xdr:nvSpPr>
      <xdr:spPr>
        <a:xfrm>
          <a:off x="1849680" y="4914720"/>
          <a:ext cx="9000" cy="7614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len="med" type="triangle" w="med"/>
          <a:tailEnd len="med" type="triangle" w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3</xdr:col>
      <xdr:colOff>484920</xdr:colOff>
      <xdr:row>27</xdr:row>
      <xdr:rowOff>95400</xdr:rowOff>
    </xdr:from>
    <xdr:to>
      <xdr:col>5</xdr:col>
      <xdr:colOff>236880</xdr:colOff>
      <xdr:row>27</xdr:row>
      <xdr:rowOff>95760</xdr:rowOff>
    </xdr:to>
    <xdr:sp>
      <xdr:nvSpPr>
        <xdr:cNvPr id="63" name="CustomShape 1"/>
        <xdr:cNvSpPr/>
      </xdr:nvSpPr>
      <xdr:spPr>
        <a:xfrm flipH="1">
          <a:off x="1915560" y="5762520"/>
          <a:ext cx="113220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len="med" type="triangle" w="med"/>
          <a:tailEnd len="med" type="triangle" w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9</xdr:col>
      <xdr:colOff>523800</xdr:colOff>
      <xdr:row>19</xdr:row>
      <xdr:rowOff>57240</xdr:rowOff>
    </xdr:from>
    <xdr:to>
      <xdr:col>11</xdr:col>
      <xdr:colOff>151920</xdr:colOff>
      <xdr:row>19</xdr:row>
      <xdr:rowOff>133200</xdr:rowOff>
    </xdr:to>
    <xdr:sp>
      <xdr:nvSpPr>
        <xdr:cNvPr id="64" name="CustomShape 1"/>
        <xdr:cNvSpPr/>
      </xdr:nvSpPr>
      <xdr:spPr>
        <a:xfrm>
          <a:off x="5792760" y="4133880"/>
          <a:ext cx="837360" cy="75960"/>
        </a:xfrm>
        <a:prstGeom prst="rect">
          <a:avLst/>
        </a:prstGeom>
        <a:ln>
          <a:solidFill>
            <a:srgbClr val="f59240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/>
      </xdr:style>
    </xdr:sp>
    <xdr:clientData/>
  </xdr:twoCellAnchor>
  <xdr:twoCellAnchor editAs="oneCell">
    <xdr:from>
      <xdr:col>18</xdr:col>
      <xdr:colOff>304920</xdr:colOff>
      <xdr:row>26</xdr:row>
      <xdr:rowOff>0</xdr:rowOff>
    </xdr:from>
    <xdr:to>
      <xdr:col>19</xdr:col>
      <xdr:colOff>237960</xdr:colOff>
      <xdr:row>29</xdr:row>
      <xdr:rowOff>190080</xdr:rowOff>
    </xdr:to>
    <xdr:sp>
      <xdr:nvSpPr>
        <xdr:cNvPr id="65" name="CustomShape 1"/>
        <xdr:cNvSpPr/>
      </xdr:nvSpPr>
      <xdr:spPr>
        <a:xfrm>
          <a:off x="10864080" y="5467320"/>
          <a:ext cx="537480" cy="789840"/>
        </a:xfrm>
        <a:prstGeom prst="rect">
          <a:avLst/>
        </a:prstGeom>
        <a:ln>
          <a:solidFill>
            <a:srgbClr val="f59240"/>
          </a:solidFill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/>
      </xdr:style>
    </xdr:sp>
    <xdr:clientData/>
  </xdr:twoCellAnchor>
  <xdr:twoCellAnchor editAs="oneCell">
    <xdr:from>
      <xdr:col>18</xdr:col>
      <xdr:colOff>219240</xdr:colOff>
      <xdr:row>26</xdr:row>
      <xdr:rowOff>19080</xdr:rowOff>
    </xdr:from>
    <xdr:to>
      <xdr:col>18</xdr:col>
      <xdr:colOff>228240</xdr:colOff>
      <xdr:row>30</xdr:row>
      <xdr:rowOff>9360</xdr:rowOff>
    </xdr:to>
    <xdr:sp>
      <xdr:nvSpPr>
        <xdr:cNvPr id="66" name="CustomShape 1"/>
        <xdr:cNvSpPr/>
      </xdr:nvSpPr>
      <xdr:spPr>
        <a:xfrm>
          <a:off x="10778400" y="5486400"/>
          <a:ext cx="9000" cy="78084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len="med" type="triangle" w="med"/>
          <a:tailEnd len="med" type="triangle" w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18</xdr:col>
      <xdr:colOff>304200</xdr:colOff>
      <xdr:row>30</xdr:row>
      <xdr:rowOff>95400</xdr:rowOff>
    </xdr:from>
    <xdr:to>
      <xdr:col>19</xdr:col>
      <xdr:colOff>246600</xdr:colOff>
      <xdr:row>30</xdr:row>
      <xdr:rowOff>95760</xdr:rowOff>
    </xdr:to>
    <xdr:sp>
      <xdr:nvSpPr>
        <xdr:cNvPr id="67" name="CustomShape 1"/>
        <xdr:cNvSpPr/>
      </xdr:nvSpPr>
      <xdr:spPr>
        <a:xfrm flipH="1">
          <a:off x="10863360" y="6353280"/>
          <a:ext cx="54684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len="med" type="triangle" w="med"/>
          <a:tailEnd len="med" type="triangle" w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7</xdr:col>
      <xdr:colOff>295200</xdr:colOff>
      <xdr:row>5</xdr:row>
      <xdr:rowOff>142920</xdr:rowOff>
    </xdr:from>
    <xdr:to>
      <xdr:col>10</xdr:col>
      <xdr:colOff>428040</xdr:colOff>
      <xdr:row>9</xdr:row>
      <xdr:rowOff>171000</xdr:rowOff>
    </xdr:to>
    <xdr:sp>
      <xdr:nvSpPr>
        <xdr:cNvPr id="68" name="CustomShape 1"/>
        <xdr:cNvSpPr/>
      </xdr:nvSpPr>
      <xdr:spPr>
        <a:xfrm>
          <a:off x="4435920" y="1476360"/>
          <a:ext cx="1865520" cy="818640"/>
        </a:xfrm>
        <a:prstGeom prst="rect">
          <a:avLst/>
        </a:prstGeom>
        <a:ln>
          <a:round/>
        </a:ln>
        <a:effectLst>
          <a:outerShdw blurRad="40000" dir="5400000" dist="20000" rotWithShape="0">
            <a:srgbClr val="000000">
              <a:alpha val="38000"/>
            </a:srgbClr>
          </a:outerShdw>
        </a:effectLst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/>
      </xdr:style>
    </xdr:sp>
    <xdr:clientData/>
  </xdr:twoCellAnchor>
  <xdr:twoCellAnchor editAs="oneCell">
    <xdr:from>
      <xdr:col>7</xdr:col>
      <xdr:colOff>181080</xdr:colOff>
      <xdr:row>5</xdr:row>
      <xdr:rowOff>123840</xdr:rowOff>
    </xdr:from>
    <xdr:to>
      <xdr:col>7</xdr:col>
      <xdr:colOff>181440</xdr:colOff>
      <xdr:row>9</xdr:row>
      <xdr:rowOff>199440</xdr:rowOff>
    </xdr:to>
    <xdr:sp>
      <xdr:nvSpPr>
        <xdr:cNvPr id="69" name="CustomShape 1"/>
        <xdr:cNvSpPr/>
      </xdr:nvSpPr>
      <xdr:spPr>
        <a:xfrm>
          <a:off x="4321800" y="1457280"/>
          <a:ext cx="360" cy="8661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len="med" type="triangle" w="med"/>
          <a:tailEnd len="med" type="triangle" w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  <xdr:twoCellAnchor editAs="oneCell">
    <xdr:from>
      <xdr:col>7</xdr:col>
      <xdr:colOff>285840</xdr:colOff>
      <xdr:row>10</xdr:row>
      <xdr:rowOff>76320</xdr:rowOff>
    </xdr:from>
    <xdr:to>
      <xdr:col>10</xdr:col>
      <xdr:colOff>418680</xdr:colOff>
      <xdr:row>10</xdr:row>
      <xdr:rowOff>76680</xdr:rowOff>
    </xdr:to>
    <xdr:sp>
      <xdr:nvSpPr>
        <xdr:cNvPr id="70" name="CustomShape 1"/>
        <xdr:cNvSpPr/>
      </xdr:nvSpPr>
      <xdr:spPr>
        <a:xfrm>
          <a:off x="4426560" y="2400120"/>
          <a:ext cx="1865520" cy="3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round/>
          <a:headEnd len="med" type="triangle" w="med"/>
          <a:tailEnd len="med" type="triangle" w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D5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C3" activeCellId="0" sqref="C3"/>
    </sheetView>
  </sheetViews>
  <sheetFormatPr defaultRowHeight="15" zeroHeight="false" outlineLevelRow="0" outlineLevelCol="0"/>
  <cols>
    <col collapsed="false" customWidth="true" hidden="false" outlineLevel="0" max="2" min="1" style="1" width="8.57"/>
    <col collapsed="false" customWidth="true" hidden="false" outlineLevel="0" max="3" min="3" style="1" width="95.42"/>
    <col collapsed="false" customWidth="true" hidden="false" outlineLevel="0" max="1025" min="4" style="1" width="8.57"/>
  </cols>
  <sheetData>
    <row r="1" customFormat="false" ht="15.75" hidden="false" customHeight="false" outlineLevel="0" collapsed="false"/>
    <row r="2" customFormat="false" ht="51.75" hidden="false" customHeight="true" outlineLevel="0" collapsed="false">
      <c r="B2" s="2"/>
      <c r="C2" s="3"/>
      <c r="D2" s="4"/>
    </row>
    <row r="3" customFormat="false" ht="23.25" hidden="false" customHeight="false" outlineLevel="0" collapsed="false">
      <c r="B3" s="5"/>
      <c r="C3" s="6" t="s">
        <v>0</v>
      </c>
      <c r="D3" s="7"/>
    </row>
    <row r="4" customFormat="false" ht="189" hidden="false" customHeight="false" outlineLevel="0" collapsed="false">
      <c r="B4" s="5"/>
      <c r="C4" s="8" t="s">
        <v>1</v>
      </c>
      <c r="D4" s="7"/>
    </row>
    <row r="5" customFormat="false" ht="21.75" hidden="false" customHeight="false" outlineLevel="0" collapsed="false">
      <c r="B5" s="9"/>
      <c r="C5" s="10"/>
      <c r="D5" s="11"/>
    </row>
  </sheetData>
  <sheetProtection sheet="true" objects="true" scenarios="true"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K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3" activeCellId="0" sqref="B13"/>
    </sheetView>
  </sheetViews>
  <sheetFormatPr defaultRowHeight="23.25" zeroHeight="false" outlineLevelRow="0" outlineLevelCol="0"/>
  <cols>
    <col collapsed="false" customWidth="true" hidden="false" outlineLevel="0" max="1" min="1" style="12" width="14.7"/>
    <col collapsed="false" customWidth="true" hidden="false" outlineLevel="0" max="2" min="2" style="13" width="3.29"/>
    <col collapsed="false" customWidth="true" hidden="false" outlineLevel="0" max="3" min="3" style="13" width="33.71"/>
    <col collapsed="false" customWidth="true" hidden="false" outlineLevel="0" max="4" min="4" style="12" width="17.71"/>
    <col collapsed="false" customWidth="true" hidden="false" outlineLevel="0" max="6" min="5" style="12" width="16.57"/>
    <col collapsed="false" customWidth="true" hidden="false" outlineLevel="0" max="7" min="7" style="12" width="3.29"/>
    <col collapsed="false" customWidth="true" hidden="false" outlineLevel="0" max="8" min="8" style="12" width="23.57"/>
    <col collapsed="false" customWidth="true" hidden="true" outlineLevel="0" max="10" min="9" style="12" width="15.15"/>
    <col collapsed="false" customWidth="true" hidden="false" outlineLevel="0" max="1025" min="11" style="12" width="8.57"/>
  </cols>
  <sheetData>
    <row r="1" customFormat="false" ht="24" hidden="false" customHeight="false" outlineLevel="0" collapsed="false">
      <c r="A1" s="14"/>
      <c r="B1" s="15"/>
      <c r="C1" s="15"/>
      <c r="D1" s="1"/>
      <c r="E1" s="1"/>
      <c r="F1" s="1"/>
      <c r="G1" s="1"/>
      <c r="H1" s="1"/>
      <c r="I1" s="1"/>
      <c r="J1" s="1"/>
      <c r="K1" s="1"/>
    </row>
    <row r="2" s="20" customFormat="true" ht="18.75" hidden="false" customHeight="false" outlineLevel="0" collapsed="false">
      <c r="A2" s="16"/>
      <c r="B2" s="17"/>
      <c r="C2" s="18" t="s">
        <v>2</v>
      </c>
      <c r="D2" s="18"/>
      <c r="E2" s="18"/>
      <c r="F2" s="18"/>
      <c r="G2" s="19"/>
      <c r="H2" s="16"/>
      <c r="K2" s="16"/>
    </row>
    <row r="3" s="20" customFormat="true" ht="18.75" hidden="false" customHeight="false" outlineLevel="0" collapsed="false">
      <c r="A3" s="16"/>
      <c r="B3" s="21"/>
      <c r="C3" s="22" t="s">
        <v>3</v>
      </c>
      <c r="D3" s="22"/>
      <c r="E3" s="22"/>
      <c r="F3" s="22"/>
      <c r="G3" s="23"/>
      <c r="H3" s="16"/>
      <c r="K3" s="16"/>
    </row>
    <row r="4" s="20" customFormat="true" ht="18.75" hidden="false" customHeight="true" outlineLevel="0" collapsed="false">
      <c r="A4" s="16"/>
      <c r="B4" s="24" t="s">
        <v>4</v>
      </c>
      <c r="C4" s="24"/>
      <c r="D4" s="24"/>
      <c r="E4" s="24"/>
      <c r="F4" s="24"/>
      <c r="G4" s="24"/>
      <c r="H4" s="16"/>
      <c r="I4" s="25"/>
      <c r="J4" s="25"/>
      <c r="K4" s="16"/>
    </row>
    <row r="5" customFormat="false" ht="30" hidden="false" customHeight="false" outlineLevel="0" collapsed="false">
      <c r="A5" s="1"/>
      <c r="B5" s="26"/>
      <c r="C5" s="22" t="s">
        <v>5</v>
      </c>
      <c r="D5" s="22"/>
      <c r="E5" s="22"/>
      <c r="F5" s="22"/>
      <c r="G5" s="27"/>
      <c r="H5" s="1"/>
      <c r="I5" s="28" t="s">
        <v>6</v>
      </c>
      <c r="J5" s="28" t="s">
        <v>7</v>
      </c>
      <c r="K5" s="1"/>
    </row>
    <row r="6" customFormat="false" ht="15" hidden="false" customHeight="false" outlineLevel="0" collapsed="false">
      <c r="A6" s="1"/>
      <c r="B6" s="5"/>
      <c r="C6" s="29" t="s">
        <v>8</v>
      </c>
      <c r="D6" s="30" t="n">
        <v>500</v>
      </c>
      <c r="E6" s="30"/>
      <c r="F6" s="30"/>
      <c r="G6" s="7"/>
      <c r="H6" s="1"/>
      <c r="I6" s="31" t="n">
        <v>100</v>
      </c>
      <c r="J6" s="32" t="n">
        <v>1</v>
      </c>
      <c r="K6" s="1"/>
    </row>
    <row r="7" customFormat="false" ht="15" hidden="false" customHeight="false" outlineLevel="0" collapsed="false">
      <c r="A7" s="1"/>
      <c r="B7" s="5"/>
      <c r="C7" s="29" t="s">
        <v>9</v>
      </c>
      <c r="D7" s="33" t="n">
        <v>4</v>
      </c>
      <c r="E7" s="33"/>
      <c r="F7" s="33"/>
      <c r="G7" s="7"/>
      <c r="H7" s="1"/>
      <c r="I7" s="31" t="n">
        <v>200</v>
      </c>
      <c r="J7" s="32" t="n">
        <v>2</v>
      </c>
      <c r="K7" s="1"/>
    </row>
    <row r="8" customFormat="false" ht="15" hidden="false" customHeight="false" outlineLevel="0" collapsed="false">
      <c r="A8" s="1"/>
      <c r="B8" s="5"/>
      <c r="C8" s="29" t="s">
        <v>10</v>
      </c>
      <c r="D8" s="34" t="n">
        <v>0.8</v>
      </c>
      <c r="E8" s="34"/>
      <c r="F8" s="34"/>
      <c r="G8" s="7"/>
      <c r="H8" s="1"/>
      <c r="I8" s="31" t="n">
        <v>300</v>
      </c>
      <c r="J8" s="32" t="n">
        <v>3</v>
      </c>
      <c r="K8" s="1"/>
    </row>
    <row r="9" customFormat="false" ht="23.25" hidden="false" customHeight="false" outlineLevel="0" collapsed="false">
      <c r="A9" s="1"/>
      <c r="B9" s="35"/>
      <c r="C9" s="15"/>
      <c r="D9" s="1"/>
      <c r="E9" s="1"/>
      <c r="F9" s="1"/>
      <c r="G9" s="7"/>
      <c r="H9" s="1"/>
      <c r="I9" s="31" t="n">
        <v>400</v>
      </c>
      <c r="J9" s="32" t="n">
        <v>3.5</v>
      </c>
      <c r="K9" s="1"/>
    </row>
    <row r="10" customFormat="false" ht="23.25" hidden="false" customHeight="false" outlineLevel="0" collapsed="false">
      <c r="A10" s="1"/>
      <c r="B10" s="35"/>
      <c r="C10" s="36" t="s">
        <v>11</v>
      </c>
      <c r="D10" s="36"/>
      <c r="E10" s="36"/>
      <c r="F10" s="36"/>
      <c r="G10" s="7"/>
      <c r="H10" s="1"/>
      <c r="I10" s="31" t="n">
        <v>500</v>
      </c>
      <c r="J10" s="32" t="n">
        <v>4</v>
      </c>
      <c r="K10" s="1"/>
    </row>
    <row r="11" customFormat="false" ht="21" hidden="false" customHeight="false" outlineLevel="0" collapsed="false">
      <c r="A11" s="1"/>
      <c r="B11" s="5"/>
      <c r="C11" s="37" t="s">
        <v>12</v>
      </c>
      <c r="D11" s="38" t="n">
        <f aca="false">E22</f>
        <v>3264.86574006764</v>
      </c>
      <c r="E11" s="38"/>
      <c r="F11" s="39" t="n">
        <f aca="false">PARÂMETROS!E23</f>
        <v>0.573369224664712</v>
      </c>
      <c r="G11" s="7"/>
      <c r="H11" s="1"/>
      <c r="I11" s="1"/>
      <c r="J11" s="1"/>
      <c r="K11" s="1"/>
    </row>
    <row r="12" customFormat="false" ht="21" hidden="false" customHeight="false" outlineLevel="0" collapsed="false">
      <c r="A12" s="1"/>
      <c r="B12" s="5"/>
      <c r="C12" s="37" t="s">
        <v>13</v>
      </c>
      <c r="D12" s="38" t="n">
        <f aca="false">F22</f>
        <v>3902.51716006764</v>
      </c>
      <c r="E12" s="38"/>
      <c r="F12" s="39" t="n">
        <f aca="false">F23</f>
        <v>0.771778417501092</v>
      </c>
      <c r="G12" s="7"/>
      <c r="H12" s="1"/>
      <c r="I12" s="1"/>
      <c r="J12" s="1"/>
      <c r="K12" s="1"/>
    </row>
    <row r="13" customFormat="false" ht="33" hidden="false" customHeight="true" outlineLevel="0" collapsed="false">
      <c r="A13" s="1"/>
      <c r="B13" s="40" t="s">
        <v>14</v>
      </c>
      <c r="C13" s="40"/>
      <c r="D13" s="40"/>
      <c r="E13" s="40"/>
      <c r="F13" s="40"/>
      <c r="G13" s="40"/>
      <c r="H13" s="1"/>
      <c r="I13" s="1"/>
      <c r="J13" s="1"/>
      <c r="K13" s="1"/>
    </row>
    <row r="14" customFormat="false" ht="23.25" hidden="false" customHeight="false" outlineLevel="0" collapsed="false">
      <c r="A14" s="1"/>
      <c r="B14" s="41"/>
      <c r="C14" s="42" t="s">
        <v>15</v>
      </c>
      <c r="D14" s="42"/>
      <c r="E14" s="42"/>
      <c r="F14" s="42"/>
      <c r="G14" s="4"/>
      <c r="H14" s="1"/>
      <c r="I14" s="1"/>
      <c r="J14" s="1"/>
      <c r="K14" s="1"/>
    </row>
    <row r="15" customFormat="false" ht="23.25" hidden="false" customHeight="false" outlineLevel="0" collapsed="false">
      <c r="B15" s="35"/>
      <c r="C15" s="43" t="s">
        <v>16</v>
      </c>
      <c r="D15" s="43"/>
      <c r="E15" s="43"/>
      <c r="F15" s="43"/>
      <c r="G15" s="7"/>
    </row>
    <row r="16" customFormat="false" ht="23.25" hidden="false" customHeight="false" outlineLevel="0" collapsed="false">
      <c r="B16" s="35"/>
      <c r="C16" s="44" t="s">
        <v>17</v>
      </c>
      <c r="D16" s="44" t="s">
        <v>18</v>
      </c>
      <c r="E16" s="45" t="s">
        <v>19</v>
      </c>
      <c r="F16" s="45" t="s">
        <v>20</v>
      </c>
      <c r="G16" s="7"/>
    </row>
    <row r="17" customFormat="false" ht="23.25" hidden="false" customHeight="false" outlineLevel="0" collapsed="false">
      <c r="B17" s="35"/>
      <c r="C17" s="46" t="s">
        <v>21</v>
      </c>
      <c r="D17" s="47" t="s">
        <v>22</v>
      </c>
      <c r="E17" s="47" t="n">
        <f aca="false">VLOOKUP(D6,CANTEIRO!E25:F30,2,0)</f>
        <v>637.65142</v>
      </c>
      <c r="F17" s="47" t="s">
        <v>22</v>
      </c>
      <c r="G17" s="7"/>
    </row>
    <row r="18" customFormat="false" ht="23.25" hidden="false" customHeight="false" outlineLevel="0" collapsed="false">
      <c r="B18" s="35"/>
      <c r="C18" s="46" t="s">
        <v>23</v>
      </c>
      <c r="D18" s="47" t="s">
        <v>22</v>
      </c>
      <c r="E18" s="47" t="n">
        <f aca="false">VLOOKUP(D6,CANTEIRO!B10:C15,2,0)</f>
        <v>102.42826</v>
      </c>
      <c r="F18" s="47" t="n">
        <f aca="false">E18</f>
        <v>102.42826</v>
      </c>
      <c r="G18" s="7"/>
    </row>
    <row r="19" customFormat="false" ht="23.25" hidden="false" customHeight="false" outlineLevel="0" collapsed="false">
      <c r="B19" s="35"/>
      <c r="C19" s="46" t="s">
        <v>24</v>
      </c>
      <c r="D19" s="47" t="n">
        <f aca="false">INSUMOS!M11</f>
        <v>3655.32485126306</v>
      </c>
      <c r="E19" s="47" t="n">
        <f aca="false">INSUMOS!F18</f>
        <v>2585.39389821736</v>
      </c>
      <c r="F19" s="47" t="n">
        <f aca="false">E19</f>
        <v>2585.39389821736</v>
      </c>
      <c r="G19" s="7"/>
    </row>
    <row r="20" customFormat="false" ht="23.25" hidden="false" customHeight="false" outlineLevel="0" collapsed="false">
      <c r="B20" s="35"/>
      <c r="C20" s="48" t="s">
        <v>25</v>
      </c>
      <c r="D20" s="47" t="n">
        <f aca="false">VLOOKUP(D7,'MO E EQ'!M28:N33,2,0)</f>
        <v>5303.71769429467</v>
      </c>
      <c r="E20" s="47" t="n">
        <f aca="false">VLOOKUP(D7,'MO E EQ'!E34:F39,2,0)</f>
        <v>2368.70322727273</v>
      </c>
      <c r="F20" s="47" t="n">
        <f aca="false">E20</f>
        <v>2368.70322727273</v>
      </c>
      <c r="G20" s="7"/>
    </row>
    <row r="21" customFormat="false" ht="23.25" hidden="false" customHeight="false" outlineLevel="0" collapsed="false">
      <c r="B21" s="35"/>
      <c r="C21" s="48" t="s">
        <v>26</v>
      </c>
      <c r="D21" s="47" t="n">
        <f aca="false">SUM(D18:D20)</f>
        <v>8959.04254555773</v>
      </c>
      <c r="E21" s="47" t="n">
        <f aca="false">SUM(E17:E20)</f>
        <v>5694.17680549009</v>
      </c>
      <c r="F21" s="47" t="n">
        <f aca="false">SUM(F17:F20)</f>
        <v>5056.52538549009</v>
      </c>
      <c r="G21" s="7"/>
    </row>
    <row r="22" customFormat="false" ht="23.25" hidden="false" customHeight="false" outlineLevel="0" collapsed="false">
      <c r="B22" s="35"/>
      <c r="C22" s="49" t="s">
        <v>27</v>
      </c>
      <c r="D22" s="47" t="s">
        <v>22</v>
      </c>
      <c r="E22" s="50" t="n">
        <f aca="false">D21-E21</f>
        <v>3264.86574006764</v>
      </c>
      <c r="F22" s="50" t="n">
        <f aca="false">D21-F21</f>
        <v>3902.51716006764</v>
      </c>
      <c r="G22" s="7"/>
    </row>
    <row r="23" customFormat="false" ht="23.25" hidden="false" customHeight="false" outlineLevel="0" collapsed="false">
      <c r="B23" s="35"/>
      <c r="C23" s="49" t="s">
        <v>28</v>
      </c>
      <c r="D23" s="47" t="s">
        <v>22</v>
      </c>
      <c r="E23" s="51" t="n">
        <f aca="false">E22/E21</f>
        <v>0.573369224664712</v>
      </c>
      <c r="F23" s="51" t="n">
        <f aca="false">F22/F21</f>
        <v>0.771778417501092</v>
      </c>
      <c r="G23" s="7"/>
    </row>
    <row r="24" customFormat="false" ht="6" hidden="false" customHeight="true" outlineLevel="0" collapsed="false">
      <c r="B24" s="35"/>
      <c r="C24" s="25"/>
      <c r="D24" s="52"/>
      <c r="E24" s="52"/>
      <c r="F24" s="53"/>
      <c r="G24" s="7"/>
    </row>
    <row r="25" customFormat="false" ht="15.75" hidden="false" customHeight="false" outlineLevel="0" collapsed="false">
      <c r="B25" s="54" t="s">
        <v>29</v>
      </c>
      <c r="C25" s="54"/>
      <c r="D25" s="54"/>
      <c r="E25" s="54"/>
      <c r="F25" s="54"/>
      <c r="G25" s="54"/>
    </row>
  </sheetData>
  <sheetProtection sheet="true" objects="true" scenarios="true"/>
  <mergeCells count="14">
    <mergeCell ref="C2:F2"/>
    <mergeCell ref="C3:F3"/>
    <mergeCell ref="B4:G4"/>
    <mergeCell ref="C5:F5"/>
    <mergeCell ref="D6:F6"/>
    <mergeCell ref="D7:F7"/>
    <mergeCell ref="D8:F8"/>
    <mergeCell ref="C10:F10"/>
    <mergeCell ref="D11:E11"/>
    <mergeCell ref="D12:E12"/>
    <mergeCell ref="B13:G13"/>
    <mergeCell ref="C14:F14"/>
    <mergeCell ref="C15:F15"/>
    <mergeCell ref="B25:G25"/>
  </mergeCells>
  <dataValidations count="2">
    <dataValidation allowBlank="true" operator="between" showDropDown="false" showErrorMessage="true" showInputMessage="true" sqref="D7:F7" type="list">
      <formula1>$J$6:$J$10</formula1>
      <formula2>0</formula2>
    </dataValidation>
    <dataValidation allowBlank="true" operator="between" showDropDown="false" showErrorMessage="true" showInputMessage="true" sqref="D6:F6" type="list">
      <formula1>$I$6:$I$10</formula1>
      <formula2>0</formula2>
    </dataValidation>
  </dataValidations>
  <printOptions headings="false" gridLines="false" gridLinesSet="true" horizontalCentered="tru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0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D41" activeCellId="0" sqref="D41"/>
    </sheetView>
  </sheetViews>
  <sheetFormatPr defaultRowHeight="15" zeroHeight="false" outlineLevelRow="0" outlineLevelCol="0"/>
  <cols>
    <col collapsed="false" customWidth="true" hidden="false" outlineLevel="0" max="1" min="1" style="12" width="11.57"/>
    <col collapsed="false" customWidth="true" hidden="false" outlineLevel="0" max="2" min="2" style="12" width="25.86"/>
    <col collapsed="false" customWidth="true" hidden="false" outlineLevel="0" max="3" min="3" style="55" width="14.15"/>
    <col collapsed="false" customWidth="true" hidden="false" outlineLevel="0" max="4" min="4" style="12" width="5.43"/>
    <col collapsed="false" customWidth="true" hidden="false" outlineLevel="0" max="5" min="5" style="12" width="32.29"/>
    <col collapsed="false" customWidth="true" hidden="false" outlineLevel="0" max="6" min="6" style="55" width="26.71"/>
    <col collapsed="false" customWidth="true" hidden="false" outlineLevel="0" max="7" min="7" style="12" width="8.57"/>
    <col collapsed="false" customWidth="true" hidden="false" outlineLevel="0" max="8" min="8" style="12" width="12.14"/>
    <col collapsed="false" customWidth="true" hidden="false" outlineLevel="0" max="1025" min="9" style="12" width="8.57"/>
  </cols>
  <sheetData>
    <row r="1" customFormat="false" ht="21" hidden="false" customHeight="false" outlineLevel="0" collapsed="false">
      <c r="A1" s="56"/>
      <c r="B1" s="57" t="s">
        <v>30</v>
      </c>
      <c r="C1" s="57"/>
      <c r="D1" s="57"/>
      <c r="E1" s="57"/>
      <c r="F1" s="57"/>
    </row>
    <row r="2" s="58" customFormat="true" ht="42.75" hidden="false" customHeight="true" outlineLevel="0" collapsed="false">
      <c r="B2" s="28" t="s">
        <v>31</v>
      </c>
      <c r="C2" s="28"/>
      <c r="E2" s="28" t="s">
        <v>32</v>
      </c>
      <c r="F2" s="28"/>
    </row>
    <row r="3" s="59" customFormat="true" ht="15" hidden="false" customHeight="false" outlineLevel="0" collapsed="false">
      <c r="B3" s="60" t="s">
        <v>17</v>
      </c>
      <c r="C3" s="61" t="s">
        <v>26</v>
      </c>
      <c r="E3" s="60" t="s">
        <v>17</v>
      </c>
      <c r="F3" s="61" t="s">
        <v>26</v>
      </c>
    </row>
    <row r="4" customFormat="false" ht="15" hidden="false" customHeight="false" outlineLevel="0" collapsed="false">
      <c r="B4" s="62" t="s">
        <v>33</v>
      </c>
      <c r="C4" s="63" t="n">
        <v>4150</v>
      </c>
      <c r="E4" s="62" t="s">
        <v>34</v>
      </c>
      <c r="F4" s="63" t="n">
        <v>194240.54</v>
      </c>
    </row>
    <row r="5" customFormat="false" ht="15" hidden="false" customHeight="false" outlineLevel="0" collapsed="false">
      <c r="B5" s="62" t="s">
        <v>35</v>
      </c>
      <c r="C5" s="63" t="n">
        <v>33679.45</v>
      </c>
      <c r="E5" s="62" t="s">
        <v>36</v>
      </c>
      <c r="F5" s="63" t="n">
        <v>29371.09</v>
      </c>
    </row>
    <row r="6" customFormat="false" ht="15" hidden="false" customHeight="false" outlineLevel="0" collapsed="false">
      <c r="B6" s="62" t="s">
        <v>37</v>
      </c>
      <c r="C6" s="63" t="n">
        <v>7785.4</v>
      </c>
      <c r="E6" s="62" t="s">
        <v>38</v>
      </c>
      <c r="F6" s="63" t="n">
        <v>9965</v>
      </c>
    </row>
    <row r="7" customFormat="false" ht="15" hidden="false" customHeight="false" outlineLevel="0" collapsed="false">
      <c r="B7" s="62" t="s">
        <v>39</v>
      </c>
      <c r="C7" s="63" t="n">
        <v>5599.28</v>
      </c>
      <c r="E7" s="62" t="s">
        <v>40</v>
      </c>
      <c r="F7" s="63" t="n">
        <v>14256.33</v>
      </c>
    </row>
    <row r="8" customFormat="false" ht="15" hidden="false" customHeight="false" outlineLevel="0" collapsed="false">
      <c r="B8" s="60" t="s">
        <v>41</v>
      </c>
      <c r="C8" s="61" t="n">
        <f aca="false">SUM(C4:C7)</f>
        <v>51214.13</v>
      </c>
      <c r="E8" s="62" t="s">
        <v>42</v>
      </c>
      <c r="F8" s="63" t="n">
        <v>13500</v>
      </c>
    </row>
    <row r="9" customFormat="false" ht="15" hidden="false" customHeight="false" outlineLevel="0" collapsed="false">
      <c r="E9" s="62" t="s">
        <v>43</v>
      </c>
      <c r="F9" s="63" t="n">
        <v>15198.97</v>
      </c>
    </row>
    <row r="10" customFormat="false" ht="15" hidden="false" customHeight="false" outlineLevel="0" collapsed="false">
      <c r="B10" s="60" t="s">
        <v>44</v>
      </c>
      <c r="C10" s="61" t="s">
        <v>26</v>
      </c>
      <c r="E10" s="62" t="s">
        <v>45</v>
      </c>
      <c r="F10" s="63" t="n">
        <v>8379.39</v>
      </c>
    </row>
    <row r="11" customFormat="false" ht="15" hidden="false" customHeight="false" outlineLevel="0" collapsed="false">
      <c r="B11" s="62" t="n">
        <v>100</v>
      </c>
      <c r="C11" s="64" t="n">
        <f aca="false">$C$8/B11</f>
        <v>512.1413</v>
      </c>
      <c r="E11" s="62" t="s">
        <v>46</v>
      </c>
      <c r="F11" s="63" t="n">
        <v>3969.34</v>
      </c>
    </row>
    <row r="12" customFormat="false" ht="15" hidden="false" customHeight="false" outlineLevel="0" collapsed="false">
      <c r="B12" s="62" t="n">
        <v>200</v>
      </c>
      <c r="C12" s="64" t="n">
        <f aca="false">$C$8/B12</f>
        <v>256.07065</v>
      </c>
      <c r="E12" s="62" t="s">
        <v>47</v>
      </c>
      <c r="F12" s="63" t="n">
        <v>6446.19</v>
      </c>
    </row>
    <row r="13" customFormat="false" ht="15" hidden="false" customHeight="false" outlineLevel="0" collapsed="false">
      <c r="B13" s="62" t="n">
        <v>300</v>
      </c>
      <c r="C13" s="64" t="n">
        <f aca="false">$C$8/B13</f>
        <v>170.713766666667</v>
      </c>
      <c r="E13" s="62" t="s">
        <v>48</v>
      </c>
      <c r="F13" s="63" t="n">
        <v>6977.25</v>
      </c>
    </row>
    <row r="14" customFormat="false" ht="15" hidden="false" customHeight="false" outlineLevel="0" collapsed="false">
      <c r="B14" s="62" t="n">
        <v>400</v>
      </c>
      <c r="C14" s="64" t="n">
        <f aca="false">$C$8/B14</f>
        <v>128.035325</v>
      </c>
      <c r="E14" s="62" t="s">
        <v>49</v>
      </c>
      <c r="F14" s="63" t="n">
        <v>1882.28</v>
      </c>
    </row>
    <row r="15" customFormat="false" ht="15" hidden="false" customHeight="false" outlineLevel="0" collapsed="false">
      <c r="B15" s="62" t="n">
        <v>500</v>
      </c>
      <c r="C15" s="64" t="n">
        <f aca="false">$C$8/B15</f>
        <v>102.42826</v>
      </c>
      <c r="E15" s="62" t="s">
        <v>50</v>
      </c>
      <c r="F15" s="63" t="n">
        <v>450</v>
      </c>
    </row>
    <row r="16" customFormat="false" ht="15" hidden="false" customHeight="false" outlineLevel="0" collapsed="false">
      <c r="E16" s="62" t="s">
        <v>51</v>
      </c>
      <c r="F16" s="63" t="n">
        <v>685.8</v>
      </c>
    </row>
    <row r="17" customFormat="false" ht="15" hidden="false" customHeight="false" outlineLevel="0" collapsed="false">
      <c r="E17" s="62" t="s">
        <v>52</v>
      </c>
      <c r="F17" s="63" t="n">
        <v>841.08</v>
      </c>
    </row>
    <row r="18" customFormat="false" ht="15" hidden="false" customHeight="false" outlineLevel="0" collapsed="false">
      <c r="E18" s="62" t="s">
        <v>53</v>
      </c>
      <c r="F18" s="63" t="n">
        <v>794.42</v>
      </c>
    </row>
    <row r="19" customFormat="false" ht="15" hidden="false" customHeight="false" outlineLevel="0" collapsed="false">
      <c r="E19" s="62" t="s">
        <v>54</v>
      </c>
      <c r="F19" s="63" t="n">
        <v>1009.69</v>
      </c>
    </row>
    <row r="20" customFormat="false" ht="15" hidden="false" customHeight="false" outlineLevel="0" collapsed="false">
      <c r="E20" s="62" t="s">
        <v>55</v>
      </c>
      <c r="F20" s="63" t="n">
        <v>9258.95</v>
      </c>
    </row>
    <row r="21" customFormat="false" ht="15" hidden="false" customHeight="false" outlineLevel="0" collapsed="false">
      <c r="E21" s="62" t="s">
        <v>56</v>
      </c>
      <c r="F21" s="63" t="n">
        <v>948</v>
      </c>
    </row>
    <row r="22" customFormat="false" ht="15" hidden="false" customHeight="false" outlineLevel="0" collapsed="false">
      <c r="E22" s="62" t="s">
        <v>57</v>
      </c>
      <c r="F22" s="63" t="n">
        <v>651.39</v>
      </c>
    </row>
    <row r="23" customFormat="false" ht="15" hidden="false" customHeight="false" outlineLevel="0" collapsed="false">
      <c r="E23" s="60" t="s">
        <v>41</v>
      </c>
      <c r="F23" s="61" t="n">
        <f aca="false">SUM(F4:F22)</f>
        <v>318825.71</v>
      </c>
      <c r="H23" s="65"/>
    </row>
    <row r="25" customFormat="false" ht="15" hidden="false" customHeight="false" outlineLevel="0" collapsed="false">
      <c r="E25" s="60" t="s">
        <v>44</v>
      </c>
      <c r="F25" s="61" t="s">
        <v>26</v>
      </c>
    </row>
    <row r="26" customFormat="false" ht="15" hidden="false" customHeight="false" outlineLevel="0" collapsed="false">
      <c r="E26" s="62" t="n">
        <v>100</v>
      </c>
      <c r="F26" s="64" t="n">
        <f aca="false">$F$23/E26</f>
        <v>3188.2571</v>
      </c>
    </row>
    <row r="27" customFormat="false" ht="15" hidden="false" customHeight="false" outlineLevel="0" collapsed="false">
      <c r="E27" s="62" t="n">
        <v>200</v>
      </c>
      <c r="F27" s="64" t="n">
        <f aca="false">$F$23/E27</f>
        <v>1594.12855</v>
      </c>
    </row>
    <row r="28" customFormat="false" ht="15" hidden="false" customHeight="false" outlineLevel="0" collapsed="false">
      <c r="E28" s="62" t="n">
        <v>300</v>
      </c>
      <c r="F28" s="64" t="n">
        <f aca="false">$F$23/E28</f>
        <v>1062.75236666667</v>
      </c>
    </row>
    <row r="29" customFormat="false" ht="15" hidden="false" customHeight="false" outlineLevel="0" collapsed="false">
      <c r="E29" s="62" t="n">
        <v>400</v>
      </c>
      <c r="F29" s="64" t="n">
        <f aca="false">$F$23/E29</f>
        <v>797.064275</v>
      </c>
    </row>
    <row r="30" customFormat="false" ht="15" hidden="false" customHeight="false" outlineLevel="0" collapsed="false">
      <c r="E30" s="62" t="n">
        <v>500</v>
      </c>
      <c r="F30" s="64" t="n">
        <f aca="false">$F$23/E30</f>
        <v>637.65142</v>
      </c>
    </row>
  </sheetData>
  <mergeCells count="3">
    <mergeCell ref="B1:F1"/>
    <mergeCell ref="B2:C2"/>
    <mergeCell ref="E2:F2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37" activeCellId="0" sqref="D37"/>
    </sheetView>
  </sheetViews>
  <sheetFormatPr defaultRowHeight="15" zeroHeight="false" outlineLevelRow="0" outlineLevelCol="0"/>
  <cols>
    <col collapsed="false" customWidth="true" hidden="false" outlineLevel="0" max="1" min="1" style="12" width="11.57"/>
    <col collapsed="false" customWidth="true" hidden="false" outlineLevel="0" max="2" min="2" style="20" width="24"/>
    <col collapsed="false" customWidth="true" hidden="false" outlineLevel="0" max="3" min="3" style="20" width="14.15"/>
    <col collapsed="false" customWidth="true" hidden="false" outlineLevel="0" max="4" min="4" style="20" width="15.29"/>
    <col collapsed="false" customWidth="true" hidden="false" outlineLevel="0" max="5" min="5" style="20" width="17.29"/>
    <col collapsed="false" customWidth="true" hidden="false" outlineLevel="0" max="6" min="6" style="20" width="3.14"/>
    <col collapsed="false" customWidth="true" hidden="false" outlineLevel="0" max="7" min="7" style="12" width="31.15"/>
    <col collapsed="false" customWidth="false" hidden="false" outlineLevel="0" max="8" min="8" style="12" width="11.42"/>
    <col collapsed="false" customWidth="true" hidden="false" outlineLevel="0" max="1025" min="9" style="12" width="8.57"/>
  </cols>
  <sheetData>
    <row r="1" customFormat="false" ht="21" hidden="false" customHeight="false" outlineLevel="0" collapsed="false">
      <c r="A1" s="56"/>
      <c r="B1" s="57" t="s">
        <v>58</v>
      </c>
      <c r="C1" s="57"/>
      <c r="D1" s="57"/>
      <c r="E1" s="57"/>
      <c r="F1" s="57"/>
      <c r="G1" s="57"/>
      <c r="H1" s="57"/>
    </row>
    <row r="2" s="12" customFormat="true" ht="30" hidden="false" customHeight="false" outlineLevel="0" collapsed="false">
      <c r="B2" s="28" t="s">
        <v>17</v>
      </c>
      <c r="C2" s="28" t="s">
        <v>59</v>
      </c>
      <c r="D2" s="28" t="s">
        <v>60</v>
      </c>
      <c r="E2" s="28" t="str">
        <f aca="false">"Custo Hora + Leis Sociais - "&amp;PARÂMETROS!D8*100&amp;"%"</f>
        <v>Custo Hora + Leis Sociais - 80%</v>
      </c>
      <c r="G2" s="60" t="s">
        <v>17</v>
      </c>
      <c r="H2" s="60" t="s">
        <v>61</v>
      </c>
    </row>
    <row r="3" s="12" customFormat="true" ht="15" hidden="false" customHeight="false" outlineLevel="0" collapsed="false">
      <c r="B3" s="31" t="s">
        <v>62</v>
      </c>
      <c r="C3" s="66" t="n">
        <v>1742.4</v>
      </c>
      <c r="D3" s="67" t="n">
        <f aca="false">C3/PREÇOS!$H$6</f>
        <v>9.10344827586207</v>
      </c>
      <c r="E3" s="68" t="n">
        <f aca="false">ROUND(D3*(1+PARÂMETROS!$D$8),2)</f>
        <v>16.39</v>
      </c>
      <c r="G3" s="60" t="s">
        <v>63</v>
      </c>
      <c r="H3" s="31" t="n">
        <v>44</v>
      </c>
    </row>
    <row r="4" s="12" customFormat="true" ht="15" hidden="false" customHeight="false" outlineLevel="0" collapsed="false">
      <c r="B4" s="31" t="s">
        <v>64</v>
      </c>
      <c r="C4" s="66" t="n">
        <v>1122</v>
      </c>
      <c r="D4" s="67" t="n">
        <f aca="false">C4/PREÇOS!$H$6</f>
        <v>5.86206896551724</v>
      </c>
      <c r="E4" s="68" t="n">
        <f aca="false">ROUND(D4*(1+PARÂMETROS!$D$8),2)</f>
        <v>10.55</v>
      </c>
      <c r="G4" s="60" t="s">
        <v>65</v>
      </c>
      <c r="H4" s="31" t="n">
        <v>5</v>
      </c>
    </row>
    <row r="5" s="12" customFormat="true" ht="15" hidden="false" customHeight="false" outlineLevel="0" collapsed="false">
      <c r="B5" s="60" t="s">
        <v>66</v>
      </c>
      <c r="C5" s="69" t="n">
        <f aca="false">SUM(C3:C4)</f>
        <v>2864.4</v>
      </c>
      <c r="D5" s="69" t="n">
        <f aca="false">SUM(D3:D4)</f>
        <v>14.9655172413793</v>
      </c>
      <c r="E5" s="69" t="n">
        <f aca="false">SUM(E3:E4)</f>
        <v>26.94</v>
      </c>
      <c r="G5" s="60" t="s">
        <v>67</v>
      </c>
      <c r="H5" s="31" t="n">
        <v>8.8</v>
      </c>
    </row>
    <row r="6" customFormat="false" ht="15" hidden="false" customHeight="false" outlineLevel="0" collapsed="false">
      <c r="F6" s="12"/>
      <c r="G6" s="60" t="s">
        <v>68</v>
      </c>
      <c r="H6" s="31" t="n">
        <v>191.4</v>
      </c>
    </row>
    <row r="7" customFormat="false" ht="15" hidden="false" customHeight="false" outlineLevel="0" collapsed="false">
      <c r="B7" s="60" t="s">
        <v>69</v>
      </c>
      <c r="C7" s="60" t="s">
        <v>70</v>
      </c>
      <c r="D7" s="61" t="s">
        <v>71</v>
      </c>
      <c r="F7" s="12"/>
      <c r="G7" s="60" t="s">
        <v>72</v>
      </c>
      <c r="H7" s="70" t="n">
        <v>4.35</v>
      </c>
    </row>
    <row r="8" customFormat="false" ht="15" hidden="false" customHeight="false" outlineLevel="0" collapsed="false">
      <c r="B8" s="31" t="s">
        <v>73</v>
      </c>
      <c r="C8" s="31" t="s">
        <v>74</v>
      </c>
      <c r="D8" s="66" t="n">
        <v>0.66</v>
      </c>
      <c r="F8" s="12"/>
    </row>
    <row r="9" customFormat="false" ht="15" hidden="false" customHeight="false" outlineLevel="0" collapsed="false">
      <c r="B9" s="31" t="s">
        <v>75</v>
      </c>
      <c r="C9" s="31" t="s">
        <v>74</v>
      </c>
      <c r="D9" s="66" t="n">
        <v>0.51</v>
      </c>
      <c r="F9" s="12"/>
      <c r="G9" s="60" t="s">
        <v>17</v>
      </c>
      <c r="H9" s="60" t="s">
        <v>76</v>
      </c>
    </row>
    <row r="10" customFormat="false" ht="15" hidden="false" customHeight="false" outlineLevel="0" collapsed="false">
      <c r="B10" s="31" t="s">
        <v>77</v>
      </c>
      <c r="C10" s="31" t="s">
        <v>74</v>
      </c>
      <c r="D10" s="66" t="n">
        <v>0.36</v>
      </c>
      <c r="F10" s="12"/>
      <c r="G10" s="71" t="s">
        <v>78</v>
      </c>
      <c r="H10" s="72" t="n">
        <v>116.61</v>
      </c>
    </row>
    <row r="11" customFormat="false" ht="15" hidden="false" customHeight="false" outlineLevel="0" collapsed="false">
      <c r="B11" s="31" t="s">
        <v>79</v>
      </c>
      <c r="C11" s="31" t="s">
        <v>74</v>
      </c>
      <c r="D11" s="66" t="n">
        <v>0.7</v>
      </c>
      <c r="F11" s="12"/>
      <c r="G11" s="71" t="s">
        <v>80</v>
      </c>
      <c r="H11" s="72" t="n">
        <v>98.79</v>
      </c>
    </row>
    <row r="12" customFormat="false" ht="15" hidden="false" customHeight="false" outlineLevel="0" collapsed="false">
      <c r="B12" s="31" t="s">
        <v>81</v>
      </c>
      <c r="C12" s="31" t="s">
        <v>82</v>
      </c>
      <c r="D12" s="66" t="n">
        <v>0.29</v>
      </c>
      <c r="F12" s="12"/>
      <c r="G12" s="71" t="s">
        <v>83</v>
      </c>
      <c r="H12" s="72" t="n">
        <v>113.97</v>
      </c>
    </row>
    <row r="13" customFormat="false" ht="15" hidden="false" customHeight="false" outlineLevel="0" collapsed="false">
      <c r="B13" s="31" t="s">
        <v>84</v>
      </c>
      <c r="C13" s="31" t="s">
        <v>82</v>
      </c>
      <c r="D13" s="66" t="n">
        <v>0.38</v>
      </c>
      <c r="G13" s="71" t="s">
        <v>85</v>
      </c>
      <c r="H13" s="72" t="n">
        <v>96.15</v>
      </c>
    </row>
    <row r="14" customFormat="false" ht="15" hidden="false" customHeight="false" outlineLevel="0" collapsed="false">
      <c r="B14" s="31" t="s">
        <v>86</v>
      </c>
      <c r="C14" s="31" t="s">
        <v>87</v>
      </c>
      <c r="D14" s="66" t="n">
        <v>69</v>
      </c>
      <c r="F14" s="12"/>
    </row>
    <row r="15" customFormat="false" ht="15" hidden="false" customHeight="false" outlineLevel="0" collapsed="false">
      <c r="B15" s="31" t="s">
        <v>88</v>
      </c>
      <c r="C15" s="31" t="s">
        <v>87</v>
      </c>
      <c r="D15" s="66" t="n">
        <v>69</v>
      </c>
      <c r="F15" s="12"/>
    </row>
    <row r="16" customFormat="false" ht="15" hidden="false" customHeight="false" outlineLevel="0" collapsed="false">
      <c r="B16" s="31" t="s">
        <v>89</v>
      </c>
      <c r="C16" s="31" t="s">
        <v>87</v>
      </c>
      <c r="D16" s="66" t="n">
        <v>40</v>
      </c>
      <c r="F16" s="12"/>
    </row>
    <row r="17" customFormat="false" ht="15" hidden="false" customHeight="false" outlineLevel="0" collapsed="false">
      <c r="B17" s="31" t="s">
        <v>90</v>
      </c>
      <c r="C17" s="31" t="s">
        <v>87</v>
      </c>
      <c r="D17" s="66" t="n">
        <v>40</v>
      </c>
      <c r="F17" s="12"/>
    </row>
    <row r="18" customFormat="false" ht="15" hidden="false" customHeight="false" outlineLevel="0" collapsed="false">
      <c r="B18" s="31" t="s">
        <v>91</v>
      </c>
      <c r="C18" s="31" t="s">
        <v>82</v>
      </c>
      <c r="D18" s="66" t="n">
        <v>5.99</v>
      </c>
      <c r="F18" s="12"/>
    </row>
    <row r="19" customFormat="false" ht="15" hidden="false" customHeight="false" outlineLevel="0" collapsed="false">
      <c r="B19" s="31" t="s">
        <v>92</v>
      </c>
      <c r="C19" s="31" t="s">
        <v>82</v>
      </c>
      <c r="D19" s="66" t="n">
        <v>8.18</v>
      </c>
      <c r="F19" s="12"/>
    </row>
    <row r="20" customFormat="false" ht="15" hidden="false" customHeight="false" outlineLevel="0" collapsed="false">
      <c r="B20" s="31" t="s">
        <v>93</v>
      </c>
      <c r="C20" s="31" t="s">
        <v>94</v>
      </c>
      <c r="D20" s="66" t="n">
        <v>12.44</v>
      </c>
    </row>
    <row r="21" customFormat="false" ht="15" hidden="false" customHeight="false" outlineLevel="0" collapsed="false">
      <c r="B21" s="31" t="s">
        <v>95</v>
      </c>
      <c r="C21" s="31" t="s">
        <v>96</v>
      </c>
      <c r="D21" s="66" t="n">
        <v>1.22</v>
      </c>
    </row>
    <row r="22" customFormat="false" ht="15" hidden="false" customHeight="false" outlineLevel="0" collapsed="false">
      <c r="B22" s="31" t="s">
        <v>97</v>
      </c>
      <c r="C22" s="31" t="s">
        <v>96</v>
      </c>
      <c r="D22" s="66" t="n">
        <v>1.46</v>
      </c>
    </row>
    <row r="23" customFormat="false" ht="15" hidden="false" customHeight="false" outlineLevel="0" collapsed="false">
      <c r="B23" s="31" t="s">
        <v>98</v>
      </c>
      <c r="C23" s="31" t="s">
        <v>82</v>
      </c>
      <c r="D23" s="66" t="n">
        <v>16</v>
      </c>
    </row>
    <row r="24" customFormat="false" ht="15" hidden="false" customHeight="false" outlineLevel="0" collapsed="false">
      <c r="B24" s="31" t="s">
        <v>99</v>
      </c>
      <c r="C24" s="31" t="s">
        <v>100</v>
      </c>
      <c r="D24" s="66" t="n">
        <v>6.5</v>
      </c>
    </row>
    <row r="25" customFormat="false" ht="15" hidden="false" customHeight="false" outlineLevel="0" collapsed="false">
      <c r="B25" s="31" t="s">
        <v>101</v>
      </c>
      <c r="C25" s="31" t="s">
        <v>82</v>
      </c>
      <c r="D25" s="66" t="n">
        <v>5.5</v>
      </c>
    </row>
    <row r="26" customFormat="false" ht="15" hidden="false" customHeight="false" outlineLevel="0" collapsed="false">
      <c r="B26" s="31" t="s">
        <v>102</v>
      </c>
      <c r="C26" s="31" t="s">
        <v>82</v>
      </c>
      <c r="D26" s="66" t="n">
        <v>9.5</v>
      </c>
    </row>
    <row r="27" customFormat="false" ht="15" hidden="false" customHeight="false" outlineLevel="0" collapsed="false">
      <c r="B27" s="31" t="s">
        <v>103</v>
      </c>
      <c r="C27" s="31" t="s">
        <v>87</v>
      </c>
      <c r="D27" s="66" t="n">
        <v>2600</v>
      </c>
    </row>
    <row r="28" customFormat="false" ht="15" hidden="false" customHeight="false" outlineLevel="0" collapsed="false">
      <c r="B28" s="31" t="s">
        <v>104</v>
      </c>
      <c r="C28" s="31" t="s">
        <v>74</v>
      </c>
      <c r="D28" s="66" t="n">
        <v>1.25</v>
      </c>
    </row>
    <row r="29" customFormat="false" ht="15" hidden="false" customHeight="false" outlineLevel="0" collapsed="false">
      <c r="B29" s="31" t="s">
        <v>105</v>
      </c>
      <c r="C29" s="31" t="s">
        <v>106</v>
      </c>
      <c r="D29" s="66" t="n">
        <v>19.54</v>
      </c>
    </row>
    <row r="31" customFormat="false" ht="15" hidden="false" customHeight="false" outlineLevel="0" collapsed="false">
      <c r="B31" s="60" t="s">
        <v>107</v>
      </c>
      <c r="C31" s="60" t="s">
        <v>70</v>
      </c>
      <c r="D31" s="60" t="s">
        <v>71</v>
      </c>
    </row>
    <row r="32" customFormat="false" ht="15" hidden="false" customHeight="false" outlineLevel="0" collapsed="false">
      <c r="B32" s="73" t="s">
        <v>108</v>
      </c>
      <c r="C32" s="31" t="s">
        <v>109</v>
      </c>
      <c r="D32" s="74" t="n">
        <v>35000</v>
      </c>
    </row>
    <row r="33" customFormat="false" ht="15" hidden="false" customHeight="false" outlineLevel="0" collapsed="false">
      <c r="B33" s="73" t="s">
        <v>110</v>
      </c>
      <c r="C33" s="31" t="s">
        <v>109</v>
      </c>
      <c r="D33" s="74" t="n">
        <v>10000</v>
      </c>
    </row>
    <row r="34" customFormat="false" ht="15" hidden="false" customHeight="false" outlineLevel="0" collapsed="false">
      <c r="B34" s="73" t="s">
        <v>111</v>
      </c>
      <c r="C34" s="31" t="s">
        <v>109</v>
      </c>
      <c r="D34" s="74" t="n">
        <v>833.5</v>
      </c>
    </row>
    <row r="35" customFormat="false" ht="15" hidden="false" customHeight="false" outlineLevel="0" collapsed="false">
      <c r="B35" s="75" t="s">
        <v>112</v>
      </c>
      <c r="C35" s="31" t="s">
        <v>109</v>
      </c>
      <c r="D35" s="63" t="n">
        <v>4800</v>
      </c>
    </row>
    <row r="36" customFormat="false" ht="15" hidden="false" customHeight="false" outlineLevel="0" collapsed="false">
      <c r="B36" s="75" t="s">
        <v>113</v>
      </c>
      <c r="C36" s="31" t="s">
        <v>109</v>
      </c>
      <c r="D36" s="63" t="n">
        <v>200</v>
      </c>
    </row>
  </sheetData>
  <mergeCells count="1">
    <mergeCell ref="B1:H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P22"/>
  <sheetViews>
    <sheetView showFormulas="false" showGridLines="true" showRowColHeaders="true" showZeros="true" rightToLeft="false" tabSelected="false" showOutlineSymbols="true" defaultGridColor="true" view="normal" topLeftCell="F1" colorId="64" zoomScale="100" zoomScaleNormal="100" zoomScalePageLayoutView="100" workbookViewId="0">
      <selection pane="topLeft" activeCell="F13" activeCellId="0" sqref="F13"/>
    </sheetView>
  </sheetViews>
  <sheetFormatPr defaultRowHeight="15" zeroHeight="false" outlineLevelRow="0" outlineLevelCol="0"/>
  <cols>
    <col collapsed="false" customWidth="true" hidden="false" outlineLevel="0" max="1" min="1" style="12" width="11.57"/>
    <col collapsed="false" customWidth="true" hidden="false" outlineLevel="0" max="2" min="2" style="12" width="22.43"/>
    <col collapsed="false" customWidth="true" hidden="false" outlineLevel="0" max="3" min="3" style="12" width="8.42"/>
    <col collapsed="false" customWidth="true" hidden="false" outlineLevel="0" max="4" min="4" style="12" width="19.57"/>
    <col collapsed="false" customWidth="true" hidden="false" outlineLevel="0" max="5" min="5" style="12" width="9.85"/>
    <col collapsed="false" customWidth="true" hidden="false" outlineLevel="0" max="6" min="6" style="12" width="9.58"/>
    <col collapsed="false" customWidth="true" hidden="false" outlineLevel="0" max="7" min="7" style="55" width="12.57"/>
    <col collapsed="false" customWidth="true" hidden="false" outlineLevel="0" max="8" min="8" style="55" width="12.29"/>
    <col collapsed="false" customWidth="true" hidden="false" outlineLevel="0" max="9" min="9" style="12" width="3.57"/>
    <col collapsed="false" customWidth="true" hidden="false" outlineLevel="0" max="10" min="10" style="12" width="19.42"/>
    <col collapsed="false" customWidth="true" hidden="false" outlineLevel="0" max="11" min="11" style="12" width="8.57"/>
    <col collapsed="false" customWidth="true" hidden="false" outlineLevel="0" max="12" min="12" style="12" width="35.71"/>
    <col collapsed="false" customWidth="true" hidden="false" outlineLevel="0" max="13" min="13" style="12" width="11.29"/>
    <col collapsed="false" customWidth="true" hidden="false" outlineLevel="0" max="14" min="14" style="12" width="9.58"/>
    <col collapsed="false" customWidth="true" hidden="false" outlineLevel="0" max="15" min="15" style="12" width="12.14"/>
    <col collapsed="false" customWidth="true" hidden="false" outlineLevel="0" max="16" min="16" style="12" width="12.29"/>
    <col collapsed="false" customWidth="true" hidden="false" outlineLevel="0" max="1025" min="17" style="12" width="8.57"/>
  </cols>
  <sheetData>
    <row r="1" customFormat="false" ht="46.5" hidden="false" customHeight="true" outlineLevel="0" collapsed="false">
      <c r="A1" s="56"/>
      <c r="B1" s="76" t="s">
        <v>114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customFormat="false" ht="21" hidden="false" customHeight="false" outlineLevel="0" collapsed="false">
      <c r="B2" s="77" t="s">
        <v>115</v>
      </c>
      <c r="C2" s="77"/>
      <c r="D2" s="77"/>
      <c r="E2" s="77"/>
      <c r="F2" s="77"/>
      <c r="G2" s="77"/>
      <c r="H2" s="77"/>
      <c r="J2" s="77" t="s">
        <v>18</v>
      </c>
      <c r="K2" s="77"/>
      <c r="L2" s="77"/>
      <c r="M2" s="77"/>
      <c r="N2" s="77"/>
      <c r="O2" s="77"/>
      <c r="P2" s="77"/>
    </row>
    <row r="3" s="78" customFormat="true" ht="30" hidden="false" customHeight="false" outlineLevel="0" collapsed="false">
      <c r="B3" s="28" t="s">
        <v>116</v>
      </c>
      <c r="C3" s="28" t="s">
        <v>70</v>
      </c>
      <c r="D3" s="28" t="s">
        <v>117</v>
      </c>
      <c r="E3" s="28" t="s">
        <v>70</v>
      </c>
      <c r="F3" s="28" t="s">
        <v>118</v>
      </c>
      <c r="G3" s="79" t="s">
        <v>71</v>
      </c>
      <c r="H3" s="79" t="s">
        <v>119</v>
      </c>
      <c r="J3" s="28" t="s">
        <v>116</v>
      </c>
      <c r="K3" s="28" t="s">
        <v>70</v>
      </c>
      <c r="L3" s="28" t="s">
        <v>117</v>
      </c>
      <c r="M3" s="28" t="s">
        <v>70</v>
      </c>
      <c r="N3" s="28" t="s">
        <v>118</v>
      </c>
      <c r="O3" s="79" t="s">
        <v>71</v>
      </c>
      <c r="P3" s="79" t="s">
        <v>119</v>
      </c>
    </row>
    <row r="4" customFormat="false" ht="15" hidden="false" customHeight="true" outlineLevel="0" collapsed="false">
      <c r="B4" s="71" t="s">
        <v>120</v>
      </c>
      <c r="C4" s="80" t="s">
        <v>121</v>
      </c>
      <c r="D4" s="62" t="str">
        <f aca="false">PREÇOS!B8</f>
        <v>Tijolo 8 furos</v>
      </c>
      <c r="E4" s="62" t="str">
        <f aca="false">PREÇOS!C8</f>
        <v>un</v>
      </c>
      <c r="F4" s="81" t="n">
        <f aca="false">1187/89.98</f>
        <v>13.1918204045343</v>
      </c>
      <c r="G4" s="64" t="n">
        <f aca="false">PREÇOS!D8</f>
        <v>0.66</v>
      </c>
      <c r="H4" s="64" t="n">
        <f aca="false">G4*F4</f>
        <v>8.70660146699266</v>
      </c>
      <c r="J4" s="80" t="s">
        <v>122</v>
      </c>
      <c r="K4" s="80" t="s">
        <v>87</v>
      </c>
      <c r="L4" s="62" t="str">
        <f aca="false">PREÇOS!B12</f>
        <v>Cimento CP II (50 kg)</v>
      </c>
      <c r="M4" s="62" t="str">
        <f aca="false">PREÇOS!C12</f>
        <v>kg</v>
      </c>
      <c r="N4" s="81" t="n">
        <v>162</v>
      </c>
      <c r="O4" s="82" t="n">
        <f aca="false">PREÇOS!D12</f>
        <v>0.29</v>
      </c>
      <c r="P4" s="64" t="n">
        <f aca="false">O4*N4</f>
        <v>46.98</v>
      </c>
    </row>
    <row r="5" customFormat="false" ht="15" hidden="false" customHeight="false" outlineLevel="0" collapsed="false">
      <c r="B5" s="71"/>
      <c r="C5" s="80"/>
      <c r="D5" s="62" t="str">
        <f aca="false">PREÇOS!B9</f>
        <v>Tijolo 6 furos</v>
      </c>
      <c r="E5" s="62" t="str">
        <f aca="false">PREÇOS!C9</f>
        <v>un</v>
      </c>
      <c r="F5" s="81" t="n">
        <f aca="false">149/89.98</f>
        <v>1.65592353856413</v>
      </c>
      <c r="G5" s="64" t="n">
        <f aca="false">PREÇOS!D9</f>
        <v>0.51</v>
      </c>
      <c r="H5" s="64" t="n">
        <f aca="false">G5*F5</f>
        <v>0.844521004667704</v>
      </c>
      <c r="J5" s="80"/>
      <c r="K5" s="80"/>
      <c r="L5" s="62" t="str">
        <f aca="false">PREÇOS!B16</f>
        <v>Areia Média Lavada</v>
      </c>
      <c r="M5" s="62" t="str">
        <f aca="false">PREÇOS!C16</f>
        <v>m³</v>
      </c>
      <c r="N5" s="81" t="n">
        <v>1.216</v>
      </c>
      <c r="O5" s="82" t="n">
        <f aca="false">PREÇOS!D16</f>
        <v>40</v>
      </c>
      <c r="P5" s="64" t="n">
        <f aca="false">O5*N5</f>
        <v>48.64</v>
      </c>
    </row>
    <row r="6" customFormat="false" ht="15" hidden="false" customHeight="false" outlineLevel="0" collapsed="false">
      <c r="B6" s="71"/>
      <c r="C6" s="80"/>
      <c r="D6" s="62" t="str">
        <f aca="false">PREÇOS!B10</f>
        <v>Tijolo 4 furos</v>
      </c>
      <c r="E6" s="62" t="str">
        <f aca="false">PREÇOS!C10</f>
        <v>un</v>
      </c>
      <c r="F6" s="81" t="n">
        <f aca="false">51/89.98</f>
        <v>0.566792620582352</v>
      </c>
      <c r="G6" s="64" t="n">
        <f aca="false">PREÇOS!D10</f>
        <v>0.36</v>
      </c>
      <c r="H6" s="64" t="n">
        <f aca="false">G6*F6</f>
        <v>0.204045343409647</v>
      </c>
      <c r="J6" s="80"/>
      <c r="K6" s="80"/>
      <c r="L6" s="82" t="str">
        <f aca="false">PREÇOS!B24</f>
        <v>Super Cal</v>
      </c>
      <c r="M6" s="82" t="str">
        <f aca="false">PREÇOS!C24</f>
        <v>Saco 15 kg</v>
      </c>
      <c r="N6" s="81" t="n">
        <f aca="false">81/15</f>
        <v>5.4</v>
      </c>
      <c r="O6" s="82" t="n">
        <f aca="false">PREÇOS!D24</f>
        <v>6.5</v>
      </c>
      <c r="P6" s="64" t="n">
        <f aca="false">O6*N6</f>
        <v>35.1</v>
      </c>
    </row>
    <row r="7" customFormat="false" ht="15" hidden="false" customHeight="false" outlineLevel="0" collapsed="false">
      <c r="B7" s="83" t="s">
        <v>41</v>
      </c>
      <c r="C7" s="83"/>
      <c r="D7" s="83"/>
      <c r="E7" s="83"/>
      <c r="F7" s="83"/>
      <c r="G7" s="83"/>
      <c r="H7" s="84" t="n">
        <f aca="false">SUM(H4:H6)</f>
        <v>9.75516781507002</v>
      </c>
      <c r="J7" s="83" t="s">
        <v>41</v>
      </c>
      <c r="K7" s="83"/>
      <c r="L7" s="83"/>
      <c r="M7" s="83"/>
      <c r="N7" s="83"/>
      <c r="O7" s="83"/>
      <c r="P7" s="84" t="n">
        <f aca="false">SUM(P4:P6)</f>
        <v>130.72</v>
      </c>
    </row>
    <row r="8" customFormat="false" ht="15" hidden="false" customHeight="true" outlineLevel="0" collapsed="false">
      <c r="B8" s="71" t="s">
        <v>123</v>
      </c>
      <c r="C8" s="80" t="s">
        <v>87</v>
      </c>
      <c r="D8" s="62" t="str">
        <f aca="false">PREÇOS!B12</f>
        <v>Cimento CP II (50 kg)</v>
      </c>
      <c r="E8" s="62" t="str">
        <f aca="false">PREÇOS!C12</f>
        <v>kg</v>
      </c>
      <c r="F8" s="81" t="n">
        <v>202</v>
      </c>
      <c r="G8" s="64" t="n">
        <f aca="false">PREÇOS!D12</f>
        <v>0.29</v>
      </c>
      <c r="H8" s="64" t="n">
        <f aca="false">G8*F8</f>
        <v>58.58</v>
      </c>
      <c r="J8" s="71" t="s">
        <v>124</v>
      </c>
      <c r="K8" s="80" t="s">
        <v>106</v>
      </c>
      <c r="L8" s="62" t="str">
        <f aca="false">J12</f>
        <v>Concreto Fck 20 MPa preparado in loco</v>
      </c>
      <c r="M8" s="62" t="str">
        <f aca="false">K12</f>
        <v>m³</v>
      </c>
      <c r="N8" s="81" t="n">
        <v>0.0106</v>
      </c>
      <c r="O8" s="82" t="n">
        <f aca="false">P15</f>
        <v>174.49</v>
      </c>
      <c r="P8" s="64" t="n">
        <f aca="false">O8*N8</f>
        <v>1.849594</v>
      </c>
    </row>
    <row r="9" customFormat="false" ht="15" hidden="false" customHeight="false" outlineLevel="0" collapsed="false">
      <c r="B9" s="71"/>
      <c r="C9" s="80"/>
      <c r="D9" s="62" t="str">
        <f aca="false">PREÇOS!B24</f>
        <v>Super Cal</v>
      </c>
      <c r="E9" s="62" t="str">
        <f aca="false">PREÇOS!C24</f>
        <v>Saco 15 kg</v>
      </c>
      <c r="F9" s="81" t="n">
        <v>8.1</v>
      </c>
      <c r="G9" s="64" t="n">
        <f aca="false">PREÇOS!D24</f>
        <v>6.5</v>
      </c>
      <c r="H9" s="64" t="n">
        <f aca="false">G9*F9</f>
        <v>52.65</v>
      </c>
      <c r="J9" s="71"/>
      <c r="K9" s="80"/>
      <c r="L9" s="62" t="str">
        <f aca="false">PREÇOS!B18</f>
        <v>Aço CA-60/CA-50/CA-25</v>
      </c>
      <c r="M9" s="62" t="str">
        <f aca="false">PREÇOS!C18</f>
        <v>kg</v>
      </c>
      <c r="N9" s="81" t="n">
        <v>1.216</v>
      </c>
      <c r="O9" s="82" t="n">
        <f aca="false">PREÇOS!D18</f>
        <v>5.99</v>
      </c>
      <c r="P9" s="64" t="n">
        <f aca="false">O9*N9</f>
        <v>7.28384</v>
      </c>
    </row>
    <row r="10" customFormat="false" ht="15" hidden="false" customHeight="false" outlineLevel="0" collapsed="false">
      <c r="B10" s="71"/>
      <c r="C10" s="80"/>
      <c r="D10" s="62" t="str">
        <f aca="false">PREÇOS!B17</f>
        <v>Areia Fina Lavada</v>
      </c>
      <c r="E10" s="62" t="str">
        <f aca="false">PREÇOS!C17</f>
        <v>m³</v>
      </c>
      <c r="F10" s="81" t="n">
        <v>1.216</v>
      </c>
      <c r="G10" s="64" t="n">
        <f aca="false">PREÇOS!D17</f>
        <v>40</v>
      </c>
      <c r="H10" s="64" t="n">
        <f aca="false">G10*F10</f>
        <v>48.64</v>
      </c>
      <c r="J10" s="71"/>
      <c r="K10" s="80"/>
      <c r="L10" s="62" t="str">
        <f aca="false">J16</f>
        <v>Forma de madeira 1 Utilização</v>
      </c>
      <c r="M10" s="62" t="str">
        <f aca="false">K16</f>
        <v>m²</v>
      </c>
      <c r="N10" s="81" t="n">
        <v>0.2737</v>
      </c>
      <c r="O10" s="82" t="n">
        <f aca="false">P18</f>
        <v>50.70522</v>
      </c>
      <c r="P10" s="64" t="n">
        <f aca="false">O10*N10</f>
        <v>13.878018714</v>
      </c>
    </row>
    <row r="11" customFormat="false" ht="15" hidden="false" customHeight="false" outlineLevel="0" collapsed="false">
      <c r="B11" s="83" t="s">
        <v>41</v>
      </c>
      <c r="C11" s="83"/>
      <c r="D11" s="83"/>
      <c r="E11" s="83"/>
      <c r="F11" s="83"/>
      <c r="G11" s="83"/>
      <c r="H11" s="84" t="n">
        <f aca="false">SUM(H8:H10)</f>
        <v>159.87</v>
      </c>
      <c r="J11" s="83" t="s">
        <v>41</v>
      </c>
      <c r="K11" s="83"/>
      <c r="L11" s="83"/>
      <c r="M11" s="83"/>
      <c r="N11" s="83"/>
      <c r="O11" s="83"/>
      <c r="P11" s="84" t="n">
        <f aca="false">SUM(P8:P10)</f>
        <v>23.011452714</v>
      </c>
    </row>
    <row r="12" customFormat="false" ht="15" hidden="false" customHeight="true" outlineLevel="0" collapsed="false">
      <c r="B12" s="71" t="s">
        <v>125</v>
      </c>
      <c r="C12" s="80" t="s">
        <v>87</v>
      </c>
      <c r="D12" s="62" t="str">
        <f aca="false">PREÇOS!B13</f>
        <v>Cimento CP V (40 kg)</v>
      </c>
      <c r="E12" s="62" t="str">
        <f aca="false">PREÇOS!C13</f>
        <v>kg</v>
      </c>
      <c r="F12" s="81" t="n">
        <v>350</v>
      </c>
      <c r="G12" s="64" t="n">
        <f aca="false">PREÇOS!D13</f>
        <v>0.38</v>
      </c>
      <c r="H12" s="64" t="n">
        <f aca="false">G12*F12</f>
        <v>133</v>
      </c>
      <c r="J12" s="71" t="s">
        <v>126</v>
      </c>
      <c r="K12" s="80" t="s">
        <v>87</v>
      </c>
      <c r="L12" s="62" t="str">
        <f aca="false">PREÇOS!B12</f>
        <v>Cimento CP II (50 kg)</v>
      </c>
      <c r="M12" s="62" t="str">
        <f aca="false">PREÇOS!C12</f>
        <v>kg</v>
      </c>
      <c r="N12" s="81" t="n">
        <v>352</v>
      </c>
      <c r="O12" s="82" t="n">
        <f aca="false">PREÇOS!D12</f>
        <v>0.29</v>
      </c>
      <c r="P12" s="64" t="n">
        <f aca="false">O12*N12</f>
        <v>102.08</v>
      </c>
    </row>
    <row r="13" customFormat="false" ht="15" hidden="false" customHeight="false" outlineLevel="0" collapsed="false">
      <c r="B13" s="71"/>
      <c r="C13" s="80"/>
      <c r="D13" s="62" t="str">
        <f aca="false">PREÇOS!B14</f>
        <v>Brita 0</v>
      </c>
      <c r="E13" s="62" t="str">
        <f aca="false">PREÇOS!C14</f>
        <v>m³</v>
      </c>
      <c r="F13" s="81" t="n">
        <v>0.7</v>
      </c>
      <c r="G13" s="64" t="n">
        <f aca="false">PREÇOS!D14</f>
        <v>69</v>
      </c>
      <c r="H13" s="64" t="n">
        <f aca="false">G13*F13</f>
        <v>48.3</v>
      </c>
      <c r="J13" s="71"/>
      <c r="K13" s="80"/>
      <c r="L13" s="62" t="str">
        <f aca="false">PREÇOS!B16</f>
        <v>Areia Média Lavada</v>
      </c>
      <c r="M13" s="62" t="str">
        <f aca="false">PREÇOS!C16</f>
        <v>m³</v>
      </c>
      <c r="N13" s="81" t="n">
        <v>0.62</v>
      </c>
      <c r="O13" s="82" t="n">
        <f aca="false">PREÇOS!D16</f>
        <v>40</v>
      </c>
      <c r="P13" s="64" t="n">
        <f aca="false">O13*N13</f>
        <v>24.8</v>
      </c>
    </row>
    <row r="14" customFormat="false" ht="15" hidden="false" customHeight="false" outlineLevel="0" collapsed="false">
      <c r="B14" s="71"/>
      <c r="C14" s="80"/>
      <c r="D14" s="62" t="str">
        <f aca="false">PREÇOS!B16</f>
        <v>Areia Média Lavada</v>
      </c>
      <c r="E14" s="62" t="str">
        <f aca="false">PREÇOS!C16</f>
        <v>m³</v>
      </c>
      <c r="F14" s="81" t="n">
        <v>0.7</v>
      </c>
      <c r="G14" s="64" t="n">
        <f aca="false">PREÇOS!D16</f>
        <v>40</v>
      </c>
      <c r="H14" s="64" t="n">
        <f aca="false">G14*F14</f>
        <v>28</v>
      </c>
      <c r="J14" s="71"/>
      <c r="K14" s="80"/>
      <c r="L14" s="82" t="str">
        <f aca="false">PREÇOS!B15</f>
        <v>Brita 1</v>
      </c>
      <c r="M14" s="62" t="str">
        <f aca="false">PREÇOS!C15</f>
        <v>m³</v>
      </c>
      <c r="N14" s="81" t="n">
        <v>0.69</v>
      </c>
      <c r="O14" s="82" t="n">
        <f aca="false">PREÇOS!D15</f>
        <v>69</v>
      </c>
      <c r="P14" s="64" t="n">
        <f aca="false">O14*N14</f>
        <v>47.61</v>
      </c>
    </row>
    <row r="15" customFormat="false" ht="15" hidden="false" customHeight="false" outlineLevel="0" collapsed="false">
      <c r="B15" s="83" t="s">
        <v>41</v>
      </c>
      <c r="C15" s="83"/>
      <c r="D15" s="83"/>
      <c r="E15" s="83"/>
      <c r="F15" s="83"/>
      <c r="G15" s="83"/>
      <c r="H15" s="84" t="n">
        <f aca="false">SUM(H12:H14)</f>
        <v>209.3</v>
      </c>
      <c r="J15" s="83" t="s">
        <v>41</v>
      </c>
      <c r="K15" s="83"/>
      <c r="L15" s="83"/>
      <c r="M15" s="83"/>
      <c r="N15" s="83"/>
      <c r="O15" s="83"/>
      <c r="P15" s="84" t="n">
        <f aca="false">SUM(P12:P14)</f>
        <v>174.49</v>
      </c>
    </row>
    <row r="16" customFormat="false" ht="15" hidden="false" customHeight="true" outlineLevel="0" collapsed="false">
      <c r="B16" s="71" t="s">
        <v>127</v>
      </c>
      <c r="C16" s="80" t="s">
        <v>87</v>
      </c>
      <c r="D16" s="62" t="str">
        <f aca="false">PREÇOS!B12</f>
        <v>Cimento CP II (50 kg)</v>
      </c>
      <c r="E16" s="62" t="str">
        <f aca="false">PREÇOS!C18</f>
        <v>kg</v>
      </c>
      <c r="F16" s="81" t="n">
        <v>365</v>
      </c>
      <c r="G16" s="64" t="n">
        <f aca="false">PREÇOS!D12</f>
        <v>0.29</v>
      </c>
      <c r="H16" s="64" t="n">
        <f aca="false">G16*F16</f>
        <v>105.85</v>
      </c>
      <c r="J16" s="85" t="s">
        <v>128</v>
      </c>
      <c r="K16" s="86" t="s">
        <v>121</v>
      </c>
      <c r="L16" s="62" t="str">
        <f aca="false">PREÇOS!B27</f>
        <v>Madeira de Lei</v>
      </c>
      <c r="M16" s="62" t="str">
        <f aca="false">PREÇOS!C27</f>
        <v>m³</v>
      </c>
      <c r="N16" s="81" t="n">
        <v>0.038</v>
      </c>
      <c r="O16" s="82" t="n">
        <f aca="false">PREÇOS!D27</f>
        <v>2600</v>
      </c>
      <c r="P16" s="64" t="n">
        <f aca="false">O16*N16</f>
        <v>98.8</v>
      </c>
    </row>
    <row r="17" customFormat="false" ht="15" hidden="false" customHeight="false" outlineLevel="0" collapsed="false">
      <c r="B17" s="71"/>
      <c r="C17" s="80"/>
      <c r="D17" s="62" t="str">
        <f aca="false">PREÇOS!B17</f>
        <v>Areia Fina Lavada</v>
      </c>
      <c r="E17" s="62" t="str">
        <f aca="false">PREÇOS!C19</f>
        <v>kg</v>
      </c>
      <c r="F17" s="81" t="n">
        <v>1.216</v>
      </c>
      <c r="G17" s="64" t="n">
        <f aca="false">PREÇOS!D17</f>
        <v>40</v>
      </c>
      <c r="H17" s="64" t="n">
        <f aca="false">G17*F17</f>
        <v>48.64</v>
      </c>
      <c r="J17" s="85"/>
      <c r="K17" s="86"/>
      <c r="L17" s="62" t="str">
        <f aca="false">PREÇOS!B26</f>
        <v>Prego</v>
      </c>
      <c r="M17" s="62" t="str">
        <f aca="false">PREÇOS!C26</f>
        <v>kg</v>
      </c>
      <c r="N17" s="81" t="n">
        <v>0.05</v>
      </c>
      <c r="O17" s="82" t="n">
        <f aca="false">PREÇOS!D20</f>
        <v>12.44</v>
      </c>
      <c r="P17" s="64" t="n">
        <f aca="false">O17*N17</f>
        <v>0.622</v>
      </c>
    </row>
    <row r="18" customFormat="false" ht="15" hidden="false" customHeight="false" outlineLevel="0" collapsed="false">
      <c r="B18" s="71"/>
      <c r="C18" s="80"/>
      <c r="D18" s="62" t="str">
        <f aca="false">PREÇOS!B25</f>
        <v>Expansor</v>
      </c>
      <c r="E18" s="62" t="str">
        <f aca="false">PREÇOS!C25</f>
        <v>kg</v>
      </c>
      <c r="F18" s="81" t="n">
        <f aca="false">F16*0.01</f>
        <v>3.65</v>
      </c>
      <c r="G18" s="64" t="n">
        <f aca="false">PREÇOS!D25</f>
        <v>5.5</v>
      </c>
      <c r="H18" s="64" t="n">
        <f aca="false">G18*F18</f>
        <v>20.075</v>
      </c>
      <c r="J18" s="83" t="s">
        <v>129</v>
      </c>
      <c r="K18" s="83"/>
      <c r="L18" s="83"/>
      <c r="M18" s="83"/>
      <c r="N18" s="83"/>
      <c r="O18" s="83"/>
      <c r="P18" s="84" t="n">
        <f aca="false">SUM(P16:P17)*0.51</f>
        <v>50.70522</v>
      </c>
    </row>
    <row r="19" customFormat="false" ht="15" hidden="false" customHeight="true" outlineLevel="0" collapsed="false">
      <c r="B19" s="83" t="s">
        <v>41</v>
      </c>
      <c r="C19" s="83"/>
      <c r="D19" s="83"/>
      <c r="E19" s="83"/>
      <c r="F19" s="83"/>
      <c r="G19" s="83"/>
      <c r="H19" s="84" t="n">
        <f aca="false">SUM(H16:H18)</f>
        <v>174.565</v>
      </c>
      <c r="J19" s="71" t="s">
        <v>130</v>
      </c>
      <c r="K19" s="80" t="s">
        <v>106</v>
      </c>
      <c r="L19" s="62" t="str">
        <f aca="false">PREÇOS!B28</f>
        <v>Bloco Canaleta 9 x 19 x 19</v>
      </c>
      <c r="M19" s="62" t="str">
        <f aca="false">PREÇOS!C28</f>
        <v>un</v>
      </c>
      <c r="N19" s="81" t="n">
        <v>5</v>
      </c>
      <c r="O19" s="82" t="n">
        <f aca="false">PREÇOS!D28</f>
        <v>1.25</v>
      </c>
      <c r="P19" s="64" t="n">
        <f aca="false">O19*N19</f>
        <v>6.25</v>
      </c>
    </row>
    <row r="20" customFormat="false" ht="15" hidden="false" customHeight="false" outlineLevel="0" collapsed="false">
      <c r="J20" s="71"/>
      <c r="K20" s="80"/>
      <c r="L20" s="62" t="str">
        <f aca="false">PREÇOS!B18</f>
        <v>Aço CA-60/CA-50/CA-25</v>
      </c>
      <c r="M20" s="62" t="str">
        <f aca="false">PREÇOS!C18</f>
        <v>kg</v>
      </c>
      <c r="N20" s="81" t="n">
        <v>0.55</v>
      </c>
      <c r="O20" s="82" t="n">
        <f aca="false">PREÇOS!D18</f>
        <v>5.99</v>
      </c>
      <c r="P20" s="64" t="n">
        <f aca="false">O20*N20</f>
        <v>3.2945</v>
      </c>
    </row>
    <row r="21" customFormat="false" ht="15" hidden="false" customHeight="false" outlineLevel="0" collapsed="false">
      <c r="J21" s="71"/>
      <c r="K21" s="80"/>
      <c r="L21" s="62" t="str">
        <f aca="false">J12</f>
        <v>Concreto Fck 20 MPa preparado in loco</v>
      </c>
      <c r="M21" s="62" t="str">
        <f aca="false">K12</f>
        <v>m³</v>
      </c>
      <c r="N21" s="81" t="n">
        <v>0.006</v>
      </c>
      <c r="O21" s="82" t="n">
        <f aca="false">P15</f>
        <v>174.49</v>
      </c>
      <c r="P21" s="64" t="n">
        <f aca="false">O21*N21</f>
        <v>1.04694</v>
      </c>
    </row>
    <row r="22" customFormat="false" ht="15" hidden="false" customHeight="false" outlineLevel="0" collapsed="false">
      <c r="J22" s="83" t="s">
        <v>41</v>
      </c>
      <c r="K22" s="83"/>
      <c r="L22" s="83"/>
      <c r="M22" s="83"/>
      <c r="N22" s="83"/>
      <c r="O22" s="83"/>
      <c r="P22" s="84" t="n">
        <f aca="false">SUM(P19:P21)</f>
        <v>10.59144</v>
      </c>
    </row>
  </sheetData>
  <mergeCells count="30">
    <mergeCell ref="B1:P1"/>
    <mergeCell ref="B2:H2"/>
    <mergeCell ref="J2:P2"/>
    <mergeCell ref="B4:B6"/>
    <mergeCell ref="C4:C6"/>
    <mergeCell ref="J4:J6"/>
    <mergeCell ref="K4:K6"/>
    <mergeCell ref="B7:G7"/>
    <mergeCell ref="J7:O7"/>
    <mergeCell ref="B8:B10"/>
    <mergeCell ref="C8:C10"/>
    <mergeCell ref="J8:J10"/>
    <mergeCell ref="K8:K10"/>
    <mergeCell ref="B11:G11"/>
    <mergeCell ref="J11:O11"/>
    <mergeCell ref="B12:B14"/>
    <mergeCell ref="C12:C14"/>
    <mergeCell ref="J12:J14"/>
    <mergeCell ref="K12:K14"/>
    <mergeCell ref="B15:G15"/>
    <mergeCell ref="J15:O15"/>
    <mergeCell ref="B16:B18"/>
    <mergeCell ref="C16:C18"/>
    <mergeCell ref="J16:J17"/>
    <mergeCell ref="K16:K17"/>
    <mergeCell ref="J18:O18"/>
    <mergeCell ref="B19:G19"/>
    <mergeCell ref="J19:J21"/>
    <mergeCell ref="K19:K21"/>
    <mergeCell ref="J22:O22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Q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2" activeCellId="0" sqref="M12"/>
    </sheetView>
  </sheetViews>
  <sheetFormatPr defaultRowHeight="15" zeroHeight="false" outlineLevelRow="0" outlineLevelCol="0"/>
  <cols>
    <col collapsed="false" customWidth="true" hidden="false" outlineLevel="0" max="1" min="1" style="12" width="11.57"/>
    <col collapsed="false" customWidth="true" hidden="false" outlineLevel="0" max="2" min="2" style="12" width="22.86"/>
    <col collapsed="false" customWidth="true" hidden="false" outlineLevel="0" max="3" min="3" style="12" width="6.71"/>
    <col collapsed="false" customWidth="true" hidden="false" outlineLevel="0" max="4" min="4" style="12" width="14.57"/>
    <col collapsed="false" customWidth="true" hidden="false" outlineLevel="0" max="5" min="5" style="55" width="10.71"/>
    <col collapsed="false" customWidth="true" hidden="false" outlineLevel="0" max="7" min="6" style="12" width="12.29"/>
    <col collapsed="false" customWidth="true" hidden="false" outlineLevel="0" max="8" min="8" style="12" width="1.58"/>
    <col collapsed="false" customWidth="true" hidden="false" outlineLevel="0" max="9" min="9" style="12" width="21.86"/>
    <col collapsed="false" customWidth="true" hidden="false" outlineLevel="0" max="10" min="10" style="12" width="8.57"/>
    <col collapsed="false" customWidth="true" hidden="false" outlineLevel="0" max="11" min="11" style="12" width="11.57"/>
    <col collapsed="false" customWidth="true" hidden="false" outlineLevel="0" max="14" min="12" style="12" width="14.57"/>
    <col collapsed="false" customWidth="true" hidden="false" outlineLevel="0" max="15" min="15" style="12" width="9.58"/>
    <col collapsed="false" customWidth="true" hidden="false" outlineLevel="0" max="1025" min="16" style="12" width="8.57"/>
  </cols>
  <sheetData>
    <row r="1" customFormat="false" ht="26.25" hidden="false" customHeight="false" outlineLevel="0" collapsed="false">
      <c r="A1" s="56"/>
      <c r="B1" s="87" t="s">
        <v>131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="59" customFormat="true" ht="15" hidden="false" customHeight="false" outlineLevel="0" collapsed="false">
      <c r="B2" s="88" t="s">
        <v>132</v>
      </c>
      <c r="C2" s="88"/>
      <c r="D2" s="88"/>
      <c r="E2" s="88"/>
      <c r="F2" s="88"/>
      <c r="G2" s="88"/>
      <c r="H2" s="88"/>
      <c r="I2" s="88" t="s">
        <v>133</v>
      </c>
      <c r="J2" s="88"/>
      <c r="K2" s="88"/>
      <c r="L2" s="88"/>
      <c r="M2" s="88"/>
      <c r="N2" s="88"/>
    </row>
    <row r="3" s="78" customFormat="true" ht="30" hidden="false" customHeight="false" outlineLevel="0" collapsed="false">
      <c r="B3" s="28" t="s">
        <v>17</v>
      </c>
      <c r="C3" s="28" t="s">
        <v>70</v>
      </c>
      <c r="D3" s="28" t="s">
        <v>61</v>
      </c>
      <c r="E3" s="79" t="s">
        <v>71</v>
      </c>
      <c r="F3" s="79" t="s">
        <v>119</v>
      </c>
      <c r="G3" s="79" t="s">
        <v>134</v>
      </c>
      <c r="I3" s="28" t="s">
        <v>17</v>
      </c>
      <c r="J3" s="28" t="s">
        <v>70</v>
      </c>
      <c r="K3" s="28" t="s">
        <v>61</v>
      </c>
      <c r="L3" s="79" t="s">
        <v>71</v>
      </c>
      <c r="M3" s="79" t="s">
        <v>119</v>
      </c>
      <c r="N3" s="79" t="s">
        <v>134</v>
      </c>
      <c r="O3" s="89"/>
    </row>
    <row r="4" customFormat="false" ht="15" hidden="false" customHeight="false" outlineLevel="0" collapsed="false">
      <c r="A4" s="65"/>
      <c r="B4" s="90" t="str">
        <f aca="false">COMPOSIÇÕES!B4</f>
        <v>Tijolo Casa Fácil</v>
      </c>
      <c r="C4" s="90" t="str">
        <f aca="false">COMPOSIÇÕES!C4:C6</f>
        <v>m²</v>
      </c>
      <c r="D4" s="91" t="n">
        <v>96.15</v>
      </c>
      <c r="E4" s="92" t="n">
        <f aca="false">COMPOSIÇÕES!H7</f>
        <v>9.75516781507002</v>
      </c>
      <c r="F4" s="92" t="n">
        <f aca="false">E4*D4</f>
        <v>937.959385418982</v>
      </c>
      <c r="G4" s="92" t="n">
        <f aca="false">F4/PREÇOS!$H$13</f>
        <v>9.75516781507002</v>
      </c>
      <c r="I4" s="90" t="str">
        <f aca="false">PREÇOS!B11</f>
        <v>Tijolo furado 9 x 19 x 29</v>
      </c>
      <c r="J4" s="90" t="str">
        <f aca="false">PREÇOS!C11</f>
        <v>un</v>
      </c>
      <c r="K4" s="93" t="n">
        <f aca="false">17*'PAREDES CONVENCIONAL'!D5</f>
        <v>1679.43</v>
      </c>
      <c r="L4" s="92" t="n">
        <f aca="false">PREÇOS!D11</f>
        <v>0.7</v>
      </c>
      <c r="M4" s="92" t="n">
        <f aca="false">L4*K4</f>
        <v>1175.601</v>
      </c>
      <c r="N4" s="92" t="n">
        <f aca="false">M4/PREÇOS!$H$11</f>
        <v>11.9</v>
      </c>
      <c r="O4" s="55"/>
    </row>
    <row r="5" customFormat="false" ht="15" hidden="false" customHeight="false" outlineLevel="0" collapsed="false">
      <c r="A5" s="65"/>
      <c r="B5" s="90" t="str">
        <f aca="false">COMPOSIÇÕES!B8</f>
        <v>Argamassa 202kg/m³</v>
      </c>
      <c r="C5" s="90" t="str">
        <f aca="false">COMPOSIÇÕES!C8</f>
        <v>m³</v>
      </c>
      <c r="D5" s="91" t="n">
        <v>1.923</v>
      </c>
      <c r="E5" s="92" t="n">
        <f aca="false">COMPOSIÇÕES!H11</f>
        <v>159.87</v>
      </c>
      <c r="F5" s="92" t="n">
        <f aca="false">E5*D5</f>
        <v>307.43001</v>
      </c>
      <c r="G5" s="92" t="n">
        <f aca="false">F5/PREÇOS!$H$13</f>
        <v>3.1974</v>
      </c>
      <c r="I5" s="90" t="str">
        <f aca="false">COMPOSIÇÕES!J4</f>
        <v>Argamassa 1:1:8</v>
      </c>
      <c r="J5" s="90" t="str">
        <f aca="false">COMPOSIÇÕES!K4</f>
        <v>m³</v>
      </c>
      <c r="K5" s="93" t="n">
        <f aca="false">0.0104*'PAREDES CONVENCIONAL'!D5</f>
        <v>1.027416</v>
      </c>
      <c r="L5" s="92" t="n">
        <f aca="false">COMPOSIÇÕES!P7</f>
        <v>130.72</v>
      </c>
      <c r="M5" s="92" t="n">
        <f aca="false">L5*K5</f>
        <v>134.30381952</v>
      </c>
      <c r="N5" s="92" t="n">
        <f aca="false">M5/PREÇOS!$H$11</f>
        <v>1.359488</v>
      </c>
      <c r="O5" s="55"/>
    </row>
    <row r="6" customFormat="false" ht="15" hidden="false" customHeight="false" outlineLevel="0" collapsed="false">
      <c r="A6" s="65"/>
      <c r="B6" s="90" t="str">
        <f aca="false">COMPOSIÇÕES!B12</f>
        <v>Concreto</v>
      </c>
      <c r="C6" s="90" t="str">
        <f aca="false">COMPOSIÇÕES!C12</f>
        <v>m³</v>
      </c>
      <c r="D6" s="91" t="n">
        <v>2.21145</v>
      </c>
      <c r="E6" s="92" t="n">
        <f aca="false">COMPOSIÇÕES!H15</f>
        <v>209.3</v>
      </c>
      <c r="F6" s="92" t="n">
        <f aca="false">E6*D6</f>
        <v>462.856485</v>
      </c>
      <c r="G6" s="92" t="n">
        <f aca="false">F6/PREÇOS!$H$13</f>
        <v>4.8139</v>
      </c>
      <c r="I6" s="90" t="str">
        <f aca="false">COMPOSIÇÕES!B8</f>
        <v>Argamassa 202kg/m³</v>
      </c>
      <c r="J6" s="90" t="str">
        <f aca="false">COMPOSIÇÕES!C8</f>
        <v>m³</v>
      </c>
      <c r="K6" s="93" t="n">
        <f aca="false">0.05*'PAREDES CONVENCIONAL'!D5</f>
        <v>4.9395</v>
      </c>
      <c r="L6" s="92" t="n">
        <f aca="false">COMPOSIÇÕES!H11</f>
        <v>159.87</v>
      </c>
      <c r="M6" s="92" t="n">
        <f aca="false">L6*K6</f>
        <v>789.677865</v>
      </c>
      <c r="N6" s="92" t="n">
        <f aca="false">M6/PREÇOS!$H$11</f>
        <v>7.9935</v>
      </c>
      <c r="O6" s="55"/>
    </row>
    <row r="7" customFormat="false" ht="15" hidden="false" customHeight="false" outlineLevel="0" collapsed="false">
      <c r="A7" s="65"/>
      <c r="B7" s="90" t="str">
        <f aca="false">PREÇOS!B18</f>
        <v>Aço CA-60/CA-50/CA-25</v>
      </c>
      <c r="C7" s="90" t="str">
        <f aca="false">PREÇOS!C18</f>
        <v>kg</v>
      </c>
      <c r="D7" s="91" t="n">
        <v>98.1</v>
      </c>
      <c r="E7" s="92" t="n">
        <f aca="false">PREÇOS!D18</f>
        <v>5.99</v>
      </c>
      <c r="F7" s="92" t="n">
        <f aca="false">E7*D7</f>
        <v>587.619</v>
      </c>
      <c r="G7" s="92" t="n">
        <f aca="false">F7/PREÇOS!$H$13</f>
        <v>6.11148205928237</v>
      </c>
      <c r="I7" s="90" t="s">
        <v>124</v>
      </c>
      <c r="J7" s="90" t="s">
        <v>106</v>
      </c>
      <c r="K7" s="91" t="n">
        <v>22.8</v>
      </c>
      <c r="L7" s="94" t="n">
        <f aca="false">COMPOSIÇÕES!P11</f>
        <v>23.011452714</v>
      </c>
      <c r="M7" s="92" t="n">
        <f aca="false">L7*K7</f>
        <v>524.6611218792</v>
      </c>
      <c r="N7" s="92" t="n">
        <f aca="false">M7/PREÇOS!$H$11</f>
        <v>5.31087277942302</v>
      </c>
      <c r="O7" s="55"/>
    </row>
    <row r="8" customFormat="false" ht="15" hidden="false" customHeight="false" outlineLevel="0" collapsed="false">
      <c r="A8" s="65"/>
      <c r="B8" s="90" t="str">
        <f aca="false">PREÇOS!B19</f>
        <v>Treliça H6</v>
      </c>
      <c r="C8" s="90" t="str">
        <f aca="false">PREÇOS!C19</f>
        <v>kg</v>
      </c>
      <c r="D8" s="91" t="n">
        <v>16.8</v>
      </c>
      <c r="E8" s="92" t="n">
        <f aca="false">PREÇOS!D19</f>
        <v>8.18</v>
      </c>
      <c r="F8" s="92" t="n">
        <f aca="false">E8*D8</f>
        <v>137.424</v>
      </c>
      <c r="G8" s="92" t="n">
        <f aca="false">F8/PREÇOS!$H$13</f>
        <v>1.42926677067083</v>
      </c>
      <c r="I8" s="90" t="s">
        <v>130</v>
      </c>
      <c r="J8" s="90" t="s">
        <v>106</v>
      </c>
      <c r="K8" s="91" t="n">
        <v>42.86</v>
      </c>
      <c r="L8" s="94" t="n">
        <f aca="false">COMPOSIÇÕES!P22</f>
        <v>10.59144</v>
      </c>
      <c r="M8" s="92" t="n">
        <f aca="false">L8*K8</f>
        <v>453.9491184</v>
      </c>
      <c r="N8" s="92" t="n">
        <f aca="false">M8/PREÇOS!$H$11</f>
        <v>4.59509179471606</v>
      </c>
      <c r="O8" s="55"/>
    </row>
    <row r="9" customFormat="false" ht="15" hidden="false" customHeight="false" outlineLevel="0" collapsed="false">
      <c r="A9" s="65"/>
      <c r="B9" s="90" t="str">
        <f aca="false">PREÇOS!B20</f>
        <v>Delta-mold</v>
      </c>
      <c r="C9" s="90" t="str">
        <f aca="false">PREÇOS!C20</f>
        <v>litro</v>
      </c>
      <c r="D9" s="91" t="n">
        <f aca="false">0.012*D4</f>
        <v>1.1538</v>
      </c>
      <c r="E9" s="92" t="n">
        <f aca="false">PREÇOS!D20</f>
        <v>12.44</v>
      </c>
      <c r="F9" s="92" t="n">
        <f aca="false">E9*D9</f>
        <v>14.353272</v>
      </c>
      <c r="G9" s="92" t="n">
        <f aca="false">F9/PREÇOS!$H$13</f>
        <v>0.14928</v>
      </c>
      <c r="I9" s="90" t="str">
        <f aca="false">PREÇOS!B29</f>
        <v>Tábua de lei 30cm</v>
      </c>
      <c r="J9" s="90" t="str">
        <f aca="false">PREÇOS!C29</f>
        <v>m</v>
      </c>
      <c r="K9" s="91" t="n">
        <v>20</v>
      </c>
      <c r="L9" s="94" t="n">
        <f aca="false">PREÇOS!D29</f>
        <v>19.54</v>
      </c>
      <c r="M9" s="92" t="n">
        <f aca="false">L9*K9/20</f>
        <v>19.54</v>
      </c>
      <c r="N9" s="92" t="n">
        <f aca="false">M9/PREÇOS!$H$11</f>
        <v>0.197793298916894</v>
      </c>
      <c r="O9" s="55"/>
      <c r="P9" s="95"/>
    </row>
    <row r="10" customFormat="false" ht="15" hidden="false" customHeight="false" outlineLevel="0" collapsed="false">
      <c r="A10" s="65"/>
      <c r="B10" s="90" t="str">
        <f aca="false">PREÇOS!B21</f>
        <v>Chumbador PBA</v>
      </c>
      <c r="C10" s="90" t="str">
        <f aca="false">PREÇOS!C21</f>
        <v>Peça</v>
      </c>
      <c r="D10" s="91" t="n">
        <v>13</v>
      </c>
      <c r="E10" s="92" t="n">
        <f aca="false">PREÇOS!D21</f>
        <v>1.22</v>
      </c>
      <c r="F10" s="92" t="n">
        <f aca="false">E10*D10</f>
        <v>15.86</v>
      </c>
      <c r="G10" s="92" t="n">
        <f aca="false">F10/PREÇOS!$H$13</f>
        <v>0.164950598023921</v>
      </c>
      <c r="I10" s="60" t="s">
        <v>135</v>
      </c>
      <c r="J10" s="60"/>
      <c r="K10" s="60"/>
      <c r="L10" s="60"/>
      <c r="M10" s="96" t="n">
        <f aca="false">SUM(M4:M9)</f>
        <v>3097.7329247992</v>
      </c>
      <c r="N10" s="96" t="n">
        <f aca="false">M10/PREÇOS!$H$11</f>
        <v>31.356745873056</v>
      </c>
      <c r="O10" s="55"/>
    </row>
    <row r="11" customFormat="false" ht="15" hidden="false" customHeight="false" outlineLevel="0" collapsed="false">
      <c r="A11" s="65"/>
      <c r="B11" s="90" t="str">
        <f aca="false">PREÇOS!B22</f>
        <v>Apôios</v>
      </c>
      <c r="C11" s="90" t="str">
        <f aca="false">PREÇOS!C22</f>
        <v>Peça</v>
      </c>
      <c r="D11" s="91" t="n">
        <v>20</v>
      </c>
      <c r="E11" s="92" t="n">
        <f aca="false">PREÇOS!D22</f>
        <v>1.46</v>
      </c>
      <c r="F11" s="92" t="n">
        <f aca="false">E11*D11</f>
        <v>29.2</v>
      </c>
      <c r="G11" s="92" t="n">
        <f aca="false">F11/PREÇOS!$H$13</f>
        <v>0.303692147685907</v>
      </c>
      <c r="I11" s="60" t="s">
        <v>136</v>
      </c>
      <c r="J11" s="60"/>
      <c r="K11" s="60"/>
      <c r="L11" s="60"/>
      <c r="M11" s="96" t="n">
        <f aca="false">M10*1.18</f>
        <v>3655.32485126306</v>
      </c>
      <c r="N11" s="96" t="n">
        <f aca="false">M11/PREÇOS!$H$11</f>
        <v>37.000960130206</v>
      </c>
      <c r="O11" s="55"/>
    </row>
    <row r="12" customFormat="false" ht="15" hidden="false" customHeight="false" outlineLevel="0" collapsed="false">
      <c r="A12" s="65"/>
      <c r="B12" s="90" t="str">
        <f aca="false">PREÇOS!B23</f>
        <v>Eletrodos</v>
      </c>
      <c r="C12" s="90" t="str">
        <f aca="false">PREÇOS!C23</f>
        <v>kg</v>
      </c>
      <c r="D12" s="91" t="n">
        <v>0.3</v>
      </c>
      <c r="E12" s="92" t="n">
        <f aca="false">PREÇOS!D23</f>
        <v>16</v>
      </c>
      <c r="F12" s="92" t="n">
        <f aca="false">E12*D12</f>
        <v>4.8</v>
      </c>
      <c r="G12" s="92" t="n">
        <f aca="false">F12/PREÇOS!$H$13</f>
        <v>0.0499219968798752</v>
      </c>
      <c r="N12" s="59"/>
      <c r="O12" s="55"/>
    </row>
    <row r="13" s="59" customFormat="true" ht="15" hidden="false" customHeight="true" outlineLevel="0" collapsed="false">
      <c r="A13" s="97"/>
      <c r="B13" s="60" t="s">
        <v>137</v>
      </c>
      <c r="C13" s="60"/>
      <c r="D13" s="60"/>
      <c r="E13" s="60"/>
      <c r="F13" s="96" t="n">
        <f aca="false">SUM(F4:F12)</f>
        <v>2497.50215241898</v>
      </c>
      <c r="G13" s="96" t="n">
        <f aca="false">F13/PREÇOS!$H$13</f>
        <v>25.9750613876129</v>
      </c>
      <c r="I13" s="98" t="s">
        <v>138</v>
      </c>
      <c r="J13" s="98"/>
      <c r="K13" s="98"/>
      <c r="L13" s="98"/>
      <c r="M13" s="98"/>
      <c r="N13" s="98"/>
    </row>
    <row r="14" s="59" customFormat="true" ht="15" hidden="false" customHeight="false" outlineLevel="0" collapsed="false">
      <c r="A14" s="65"/>
      <c r="B14" s="60" t="s">
        <v>139</v>
      </c>
      <c r="C14" s="60"/>
      <c r="D14" s="60"/>
      <c r="E14" s="60"/>
      <c r="F14" s="96" t="n">
        <f aca="false">F13*1.02</f>
        <v>2547.45219546736</v>
      </c>
      <c r="G14" s="96" t="n">
        <f aca="false">F14/PREÇOS!$H$13</f>
        <v>26.4945626153652</v>
      </c>
      <c r="I14" s="98"/>
      <c r="J14" s="98"/>
      <c r="K14" s="98"/>
      <c r="L14" s="98"/>
      <c r="M14" s="98"/>
      <c r="N14" s="98"/>
    </row>
    <row r="15" customFormat="false" ht="15" hidden="false" customHeight="false" outlineLevel="0" collapsed="false">
      <c r="B15" s="83" t="s">
        <v>140</v>
      </c>
      <c r="C15" s="83"/>
      <c r="D15" s="83"/>
      <c r="E15" s="83"/>
      <c r="F15" s="83"/>
      <c r="G15" s="83"/>
      <c r="I15" s="98"/>
      <c r="J15" s="98"/>
      <c r="K15" s="98"/>
      <c r="L15" s="98"/>
      <c r="M15" s="98"/>
      <c r="N15" s="98"/>
    </row>
    <row r="16" customFormat="false" ht="30" hidden="false" customHeight="false" outlineLevel="0" collapsed="false">
      <c r="A16" s="65"/>
      <c r="B16" s="99" t="str">
        <f aca="false">COMPOSIÇÕES!B16</f>
        <v>Argamassa cimento e areia 1:4 com expansor </v>
      </c>
      <c r="C16" s="31" t="str">
        <f aca="false">COMPOSIÇÕES!C16:C18</f>
        <v>m³</v>
      </c>
      <c r="D16" s="100" t="n">
        <v>0.189</v>
      </c>
      <c r="E16" s="68" t="n">
        <f aca="false">COMPOSIÇÕES!H19</f>
        <v>174.565</v>
      </c>
      <c r="F16" s="101" t="n">
        <f aca="false">E16*D16</f>
        <v>32.992785</v>
      </c>
      <c r="G16" s="96" t="n">
        <f aca="false">F16/PREÇOS!$H$13</f>
        <v>0.343138689547582</v>
      </c>
      <c r="I16" s="98"/>
      <c r="J16" s="98"/>
      <c r="K16" s="98"/>
      <c r="L16" s="98"/>
      <c r="M16" s="98"/>
      <c r="N16" s="98"/>
    </row>
    <row r="17" customFormat="false" ht="15" hidden="false" customHeight="false" outlineLevel="0" collapsed="false">
      <c r="B17" s="83" t="s">
        <v>141</v>
      </c>
      <c r="C17" s="83"/>
      <c r="D17" s="83"/>
      <c r="E17" s="83"/>
      <c r="F17" s="102" t="n">
        <f aca="false">F16*1.15</f>
        <v>37.94170275</v>
      </c>
      <c r="G17" s="96" t="n">
        <f aca="false">F17/PREÇOS!$H$13</f>
        <v>0.394609492979719</v>
      </c>
      <c r="I17" s="98"/>
      <c r="J17" s="98"/>
      <c r="K17" s="98"/>
      <c r="L17" s="98"/>
      <c r="M17" s="98"/>
      <c r="N17" s="98"/>
    </row>
    <row r="18" customFormat="false" ht="15" hidden="false" customHeight="false" outlineLevel="0" collapsed="false">
      <c r="A18" s="1"/>
      <c r="B18" s="83" t="s">
        <v>41</v>
      </c>
      <c r="C18" s="83"/>
      <c r="D18" s="83"/>
      <c r="E18" s="83"/>
      <c r="F18" s="102" t="n">
        <f aca="false">F17+F14</f>
        <v>2585.39389821736</v>
      </c>
      <c r="G18" s="96" t="n">
        <f aca="false">F18/PREÇOS!$H$13</f>
        <v>26.8891721083449</v>
      </c>
      <c r="H18" s="1"/>
      <c r="I18" s="98"/>
      <c r="J18" s="98"/>
      <c r="K18" s="98"/>
      <c r="L18" s="98"/>
      <c r="M18" s="98"/>
      <c r="N18" s="98"/>
      <c r="O18" s="1"/>
      <c r="P18" s="1"/>
      <c r="Q18" s="1"/>
    </row>
    <row r="19" customFormat="false" ht="138" hidden="false" customHeight="true" outlineLevel="0" collapsed="false">
      <c r="A19" s="1"/>
      <c r="B19" s="1"/>
      <c r="C19" s="1"/>
      <c r="D19" s="1"/>
      <c r="F19" s="1"/>
      <c r="G19" s="1"/>
      <c r="H19" s="1"/>
      <c r="I19" s="98"/>
      <c r="J19" s="98"/>
      <c r="K19" s="98"/>
      <c r="L19" s="98"/>
      <c r="M19" s="98"/>
      <c r="N19" s="98"/>
      <c r="O19" s="1"/>
      <c r="P19" s="1"/>
      <c r="Q19" s="1"/>
    </row>
    <row r="20" customFormat="false" ht="19.5" hidden="false" customHeight="false" outlineLevel="0" collapsed="false">
      <c r="A20" s="1"/>
      <c r="B20" s="103" t="s">
        <v>142</v>
      </c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4" t="n">
        <f aca="false">M11-F18</f>
        <v>1069.93095304569</v>
      </c>
      <c r="O20" s="1"/>
      <c r="P20" s="1"/>
      <c r="Q20" s="1"/>
    </row>
  </sheetData>
  <mergeCells count="12">
    <mergeCell ref="B1:M1"/>
    <mergeCell ref="B2:G2"/>
    <mergeCell ref="I2:N2"/>
    <mergeCell ref="I10:L10"/>
    <mergeCell ref="I11:L11"/>
    <mergeCell ref="B13:E13"/>
    <mergeCell ref="I13:N19"/>
    <mergeCell ref="B14:E14"/>
    <mergeCell ref="B15:F15"/>
    <mergeCell ref="B17:E17"/>
    <mergeCell ref="B18:E18"/>
    <mergeCell ref="B20:M20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P39"/>
  <sheetViews>
    <sheetView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K10" activeCellId="0" sqref="K10"/>
    </sheetView>
  </sheetViews>
  <sheetFormatPr defaultRowHeight="15" zeroHeight="false" outlineLevelRow="0" outlineLevelCol="0"/>
  <cols>
    <col collapsed="false" customWidth="true" hidden="false" outlineLevel="0" max="1" min="1" style="12" width="11.57"/>
    <col collapsed="false" customWidth="true" hidden="false" outlineLevel="0" max="2" min="2" style="12" width="31.01"/>
    <col collapsed="false" customWidth="true" hidden="false" outlineLevel="0" max="3" min="3" style="12" width="13.29"/>
    <col collapsed="false" customWidth="true" hidden="false" outlineLevel="0" max="4" min="4" style="12" width="12.14"/>
    <col collapsed="false" customWidth="true" hidden="false" outlineLevel="0" max="5" min="5" style="12" width="15"/>
    <col collapsed="false" customWidth="true" hidden="false" outlineLevel="0" max="6" min="6" style="12" width="13.29"/>
    <col collapsed="false" customWidth="true" hidden="false" outlineLevel="0" max="7" min="7" style="12" width="3.99"/>
    <col collapsed="false" customWidth="true" hidden="false" outlineLevel="0" max="8" min="8" style="12" width="54.99"/>
    <col collapsed="false" customWidth="true" hidden="false" outlineLevel="0" max="9" min="9" style="12" width="13.29"/>
    <col collapsed="false" customWidth="true" hidden="false" outlineLevel="0" max="10" min="10" style="12" width="8.57"/>
    <col collapsed="false" customWidth="true" hidden="false" outlineLevel="0" max="11" min="11" style="12" width="13.29"/>
    <col collapsed="false" customWidth="true" hidden="false" outlineLevel="0" max="12" min="12" style="12" width="12.14"/>
    <col collapsed="false" customWidth="true" hidden="false" outlineLevel="0" max="13" min="13" style="12" width="15"/>
    <col collapsed="false" customWidth="true" hidden="false" outlineLevel="0" max="15" min="14" style="12" width="13.29"/>
    <col collapsed="false" customWidth="true" hidden="false" outlineLevel="0" max="16" min="16" style="12" width="10.58"/>
    <col collapsed="false" customWidth="true" hidden="false" outlineLevel="0" max="1025" min="17" style="12" width="8.57"/>
  </cols>
  <sheetData>
    <row r="1" customFormat="false" ht="27" hidden="false" customHeight="false" outlineLevel="0" collapsed="false">
      <c r="A1" s="56"/>
      <c r="B1" s="87" t="s">
        <v>143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customFormat="false" ht="15" hidden="false" customHeight="false" outlineLevel="0" collapsed="false">
      <c r="B2" s="105" t="s">
        <v>132</v>
      </c>
      <c r="C2" s="105"/>
      <c r="D2" s="105"/>
      <c r="E2" s="105"/>
      <c r="F2" s="105"/>
      <c r="G2" s="88"/>
      <c r="H2" s="105" t="s">
        <v>144</v>
      </c>
      <c r="I2" s="105"/>
      <c r="J2" s="105"/>
      <c r="K2" s="105"/>
      <c r="L2" s="105"/>
      <c r="M2" s="105"/>
      <c r="N2" s="105"/>
    </row>
    <row r="3" s="59" customFormat="true" ht="15" hidden="false" customHeight="false" outlineLevel="0" collapsed="false">
      <c r="B3" s="106" t="s">
        <v>17</v>
      </c>
      <c r="C3" s="60" t="s">
        <v>145</v>
      </c>
      <c r="D3" s="60" t="s">
        <v>61</v>
      </c>
      <c r="E3" s="60" t="s">
        <v>146</v>
      </c>
      <c r="F3" s="107" t="s">
        <v>119</v>
      </c>
      <c r="G3" s="88"/>
      <c r="H3" s="106" t="s">
        <v>147</v>
      </c>
      <c r="I3" s="108" t="s">
        <v>148</v>
      </c>
      <c r="J3" s="60" t="s">
        <v>70</v>
      </c>
      <c r="K3" s="60" t="s">
        <v>145</v>
      </c>
      <c r="L3" s="60" t="s">
        <v>61</v>
      </c>
      <c r="M3" s="60" t="s">
        <v>146</v>
      </c>
      <c r="N3" s="107" t="s">
        <v>119</v>
      </c>
    </row>
    <row r="4" s="59" customFormat="true" ht="15" hidden="false" customHeight="true" outlineLevel="0" collapsed="false">
      <c r="B4" s="109" t="s">
        <v>149</v>
      </c>
      <c r="C4" s="109"/>
      <c r="D4" s="109"/>
      <c r="E4" s="109"/>
      <c r="F4" s="109"/>
      <c r="G4" s="88"/>
      <c r="H4" s="110" t="s">
        <v>150</v>
      </c>
      <c r="I4" s="111" t="s">
        <v>151</v>
      </c>
      <c r="J4" s="31" t="s">
        <v>121</v>
      </c>
      <c r="K4" s="112" t="n">
        <v>0.38</v>
      </c>
      <c r="L4" s="113" t="n">
        <f aca="false">PREÇOS!$H$10</f>
        <v>116.61</v>
      </c>
      <c r="M4" s="67" t="n">
        <f aca="false">PREÇOS!$D$3*(1+PARÂMETROS!$D$8)</f>
        <v>16.3862068965517</v>
      </c>
      <c r="N4" s="114" t="n">
        <f aca="false">M4*L4*K4</f>
        <v>726.102322758621</v>
      </c>
    </row>
    <row r="5" s="59" customFormat="true" ht="15" hidden="false" customHeight="false" outlineLevel="0" collapsed="false">
      <c r="B5" s="115" t="s">
        <v>152</v>
      </c>
      <c r="C5" s="116" t="n">
        <f aca="false">PREÇOS!$H$5</f>
        <v>8.8</v>
      </c>
      <c r="D5" s="31" t="n">
        <v>1</v>
      </c>
      <c r="E5" s="67" t="n">
        <v>24.58</v>
      </c>
      <c r="F5" s="114" t="n">
        <f aca="false">E5*D5*C5</f>
        <v>216.304</v>
      </c>
      <c r="G5" s="117"/>
      <c r="H5" s="110"/>
      <c r="I5" s="111" t="s">
        <v>64</v>
      </c>
      <c r="J5" s="31" t="s">
        <v>121</v>
      </c>
      <c r="K5" s="112" t="n">
        <v>0.38</v>
      </c>
      <c r="L5" s="113" t="n">
        <f aca="false">PREÇOS!$H$10</f>
        <v>116.61</v>
      </c>
      <c r="M5" s="67" t="n">
        <f aca="false">PREÇOS!$D$4*(1+PARÂMETROS!$D$8)</f>
        <v>10.551724137931</v>
      </c>
      <c r="N5" s="114" t="n">
        <f aca="false">M5*L5*K5</f>
        <v>467.565889655172</v>
      </c>
      <c r="O5" s="88"/>
    </row>
    <row r="6" s="59" customFormat="true" ht="15" hidden="false" customHeight="true" outlineLevel="0" collapsed="false">
      <c r="B6" s="115" t="s">
        <v>153</v>
      </c>
      <c r="C6" s="116" t="n">
        <f aca="false">PREÇOS!$H$5</f>
        <v>8.8</v>
      </c>
      <c r="D6" s="31" t="n">
        <v>1</v>
      </c>
      <c r="E6" s="67" t="n">
        <f aca="false">PREÇOS!$E$3</f>
        <v>16.39</v>
      </c>
      <c r="F6" s="114" t="n">
        <f aca="false">E6*D6*C6</f>
        <v>144.232</v>
      </c>
      <c r="G6" s="117"/>
      <c r="H6" s="110" t="s">
        <v>154</v>
      </c>
      <c r="I6" s="111" t="s">
        <v>151</v>
      </c>
      <c r="J6" s="31" t="s">
        <v>121</v>
      </c>
      <c r="K6" s="112" t="n">
        <v>0.06</v>
      </c>
      <c r="L6" s="113" t="n">
        <f aca="false">L4*2</f>
        <v>233.22</v>
      </c>
      <c r="M6" s="67" t="n">
        <f aca="false">PREÇOS!$D$3*(1+PARÂMETROS!$D$8)</f>
        <v>16.3862068965517</v>
      </c>
      <c r="N6" s="114" t="n">
        <f aca="false">M6*L6*K6</f>
        <v>229.295470344828</v>
      </c>
      <c r="O6" s="88"/>
    </row>
    <row r="7" customFormat="false" ht="15" hidden="false" customHeight="false" outlineLevel="0" collapsed="false">
      <c r="B7" s="115" t="s">
        <v>155</v>
      </c>
      <c r="C7" s="116" t="n">
        <f aca="false">PREÇOS!$H$5</f>
        <v>8.8</v>
      </c>
      <c r="D7" s="31" t="n">
        <v>1</v>
      </c>
      <c r="E7" s="67" t="n">
        <v>16.39</v>
      </c>
      <c r="F7" s="114" t="n">
        <f aca="false">E7*D7*C7</f>
        <v>144.232</v>
      </c>
      <c r="G7" s="117"/>
      <c r="H7" s="110"/>
      <c r="I7" s="111" t="s">
        <v>64</v>
      </c>
      <c r="J7" s="31" t="s">
        <v>121</v>
      </c>
      <c r="K7" s="112" t="n">
        <v>0.06</v>
      </c>
      <c r="L7" s="113" t="n">
        <f aca="false">L5*2</f>
        <v>233.22</v>
      </c>
      <c r="M7" s="67" t="n">
        <f aca="false">PREÇOS!$D$4*(1+PARÂMETROS!$D$8)</f>
        <v>10.551724137931</v>
      </c>
      <c r="N7" s="114" t="n">
        <f aca="false">M7*L7*K7</f>
        <v>147.652386206897</v>
      </c>
      <c r="O7" s="117"/>
      <c r="P7" s="65"/>
    </row>
    <row r="8" customFormat="false" ht="15" hidden="false" customHeight="true" outlineLevel="0" collapsed="false">
      <c r="B8" s="115" t="s">
        <v>151</v>
      </c>
      <c r="C8" s="116" t="n">
        <f aca="false">PREÇOS!$H$5</f>
        <v>8.8</v>
      </c>
      <c r="D8" s="31" t="n">
        <v>18</v>
      </c>
      <c r="E8" s="67" t="n">
        <v>16.39</v>
      </c>
      <c r="F8" s="114" t="n">
        <f aca="false">E8*D8*C8</f>
        <v>2596.176</v>
      </c>
      <c r="G8" s="117"/>
      <c r="H8" s="110" t="s">
        <v>156</v>
      </c>
      <c r="I8" s="111" t="s">
        <v>151</v>
      </c>
      <c r="J8" s="31" t="s">
        <v>121</v>
      </c>
      <c r="K8" s="112" t="n">
        <v>0.37</v>
      </c>
      <c r="L8" s="118" t="n">
        <f aca="false">L4*2</f>
        <v>233.22</v>
      </c>
      <c r="M8" s="67" t="n">
        <f aca="false">PREÇOS!$D$3*(1+PARÂMETROS!$D$8)</f>
        <v>16.3862068965517</v>
      </c>
      <c r="N8" s="114" t="n">
        <f aca="false">M8*L8*K8</f>
        <v>1413.9887337931</v>
      </c>
      <c r="O8" s="117"/>
    </row>
    <row r="9" customFormat="false" ht="15" hidden="false" customHeight="false" outlineLevel="0" collapsed="false">
      <c r="B9" s="115" t="s">
        <v>157</v>
      </c>
      <c r="C9" s="116" t="n">
        <f aca="false">PREÇOS!$H$5</f>
        <v>8.8</v>
      </c>
      <c r="D9" s="31" t="n">
        <v>16</v>
      </c>
      <c r="E9" s="67" t="n">
        <f aca="false">PREÇOS!$E$4</f>
        <v>10.55</v>
      </c>
      <c r="F9" s="114" t="n">
        <f aca="false">E9*D9*C9</f>
        <v>1485.44</v>
      </c>
      <c r="G9" s="117"/>
      <c r="H9" s="110"/>
      <c r="I9" s="111" t="s">
        <v>64</v>
      </c>
      <c r="J9" s="31" t="s">
        <v>121</v>
      </c>
      <c r="K9" s="112" t="n">
        <v>0.37</v>
      </c>
      <c r="L9" s="118" t="n">
        <f aca="false">L5*2</f>
        <v>233.22</v>
      </c>
      <c r="M9" s="67" t="n">
        <f aca="false">PREÇOS!$D$4*(1+PARÂMETROS!$D$8)</f>
        <v>10.551724137931</v>
      </c>
      <c r="N9" s="114" t="n">
        <f aca="false">M9*L9*K9</f>
        <v>910.523048275862</v>
      </c>
      <c r="O9" s="117"/>
    </row>
    <row r="10" customFormat="false" ht="15" hidden="false" customHeight="false" outlineLevel="0" collapsed="false">
      <c r="B10" s="115" t="s">
        <v>158</v>
      </c>
      <c r="C10" s="116" t="n">
        <f aca="false">PREÇOS!$H$5</f>
        <v>8.8</v>
      </c>
      <c r="D10" s="31" t="n">
        <v>4</v>
      </c>
      <c r="E10" s="67" t="n">
        <f aca="false">PREÇOS!$E$4</f>
        <v>10.55</v>
      </c>
      <c r="F10" s="114" t="n">
        <f aca="false">E10*D10*C10</f>
        <v>371.36</v>
      </c>
      <c r="G10" s="117"/>
      <c r="H10" s="115" t="s">
        <v>159</v>
      </c>
      <c r="I10" s="111" t="s">
        <v>64</v>
      </c>
      <c r="J10" s="31" t="s">
        <v>106</v>
      </c>
      <c r="K10" s="112" t="n">
        <v>1.7</v>
      </c>
      <c r="L10" s="113" t="n">
        <v>22.8</v>
      </c>
      <c r="M10" s="67" t="n">
        <f aca="false">PREÇOS!$D$4*(1+PARÂMETROS!$D$8)</f>
        <v>10.551724137931</v>
      </c>
      <c r="N10" s="114" t="n">
        <f aca="false">M10*L10*K10</f>
        <v>408.984827586207</v>
      </c>
      <c r="O10" s="117"/>
    </row>
    <row r="11" customFormat="false" ht="15" hidden="false" customHeight="false" outlineLevel="0" collapsed="false">
      <c r="B11" s="115" t="s">
        <v>160</v>
      </c>
      <c r="C11" s="116" t="n">
        <f aca="false">PREÇOS!$H$5</f>
        <v>8.8</v>
      </c>
      <c r="D11" s="31" t="n">
        <v>2</v>
      </c>
      <c r="E11" s="67" t="n">
        <f aca="false">PREÇOS!$E$4</f>
        <v>10.55</v>
      </c>
      <c r="F11" s="114" t="n">
        <f aca="false">E11*D11*C11</f>
        <v>185.68</v>
      </c>
      <c r="G11" s="117"/>
      <c r="H11" s="115" t="s">
        <v>161</v>
      </c>
      <c r="I11" s="111" t="s">
        <v>162</v>
      </c>
      <c r="J11" s="31" t="s">
        <v>74</v>
      </c>
      <c r="K11" s="119" t="n">
        <v>0.35</v>
      </c>
      <c r="L11" s="113" t="n">
        <v>1</v>
      </c>
      <c r="M11" s="120" t="n">
        <v>700</v>
      </c>
      <c r="N11" s="114" t="n">
        <f aca="false">M11*L11*K11</f>
        <v>245</v>
      </c>
    </row>
    <row r="12" s="121" customFormat="true" ht="15" hidden="false" customHeight="false" outlineLevel="0" collapsed="false">
      <c r="B12" s="115" t="s">
        <v>163</v>
      </c>
      <c r="C12" s="116" t="n">
        <f aca="false">PREÇOS!$H$5</f>
        <v>8.8</v>
      </c>
      <c r="D12" s="31" t="n">
        <v>2</v>
      </c>
      <c r="E12" s="67" t="n">
        <f aca="false">PREÇOS!$E$4</f>
        <v>10.55</v>
      </c>
      <c r="F12" s="114" t="n">
        <f aca="false">E12*D12*C12</f>
        <v>185.68</v>
      </c>
      <c r="G12" s="117"/>
      <c r="H12" s="115" t="s">
        <v>164</v>
      </c>
      <c r="I12" s="111" t="s">
        <v>165</v>
      </c>
      <c r="J12" s="31" t="s">
        <v>74</v>
      </c>
      <c r="K12" s="119" t="n">
        <v>0.35</v>
      </c>
      <c r="L12" s="113" t="n">
        <v>1</v>
      </c>
      <c r="M12" s="120" t="n">
        <v>600</v>
      </c>
      <c r="N12" s="114" t="n">
        <f aca="false">M12*L12*K12</f>
        <v>210</v>
      </c>
    </row>
    <row r="13" customFormat="false" ht="15" hidden="false" customHeight="false" outlineLevel="0" collapsed="false">
      <c r="B13" s="115" t="s">
        <v>166</v>
      </c>
      <c r="C13" s="116" t="n">
        <f aca="false">PREÇOS!$H$5</f>
        <v>8.8</v>
      </c>
      <c r="D13" s="31" t="n">
        <v>6</v>
      </c>
      <c r="E13" s="67" t="n">
        <f aca="false">PREÇOS!$E$4</f>
        <v>10.55</v>
      </c>
      <c r="F13" s="114" t="n">
        <f aca="false">E13*D13*C13</f>
        <v>557.04</v>
      </c>
      <c r="G13" s="117"/>
      <c r="H13" s="115" t="s">
        <v>167</v>
      </c>
      <c r="I13" s="111" t="s">
        <v>151</v>
      </c>
      <c r="J13" s="31" t="s">
        <v>168</v>
      </c>
      <c r="K13" s="112" t="n">
        <v>2</v>
      </c>
      <c r="L13" s="122" t="n">
        <v>10</v>
      </c>
      <c r="M13" s="67" t="n">
        <f aca="false">PREÇOS!$D$3*(1+PARÂMETROS!$D$8)</f>
        <v>16.3862068965517</v>
      </c>
      <c r="N13" s="114" t="n">
        <f aca="false">M13*L13*K13</f>
        <v>327.724137931035</v>
      </c>
    </row>
    <row r="14" customFormat="false" ht="15" hidden="false" customHeight="false" outlineLevel="0" collapsed="false">
      <c r="B14" s="115" t="s">
        <v>169</v>
      </c>
      <c r="C14" s="116" t="n">
        <f aca="false">PREÇOS!$H$5</f>
        <v>8.8</v>
      </c>
      <c r="D14" s="31" t="n">
        <v>1</v>
      </c>
      <c r="E14" s="67" t="n">
        <f aca="false">PREÇOS!$E$4</f>
        <v>10.55</v>
      </c>
      <c r="F14" s="114" t="n">
        <f aca="false">E14*D14*C14</f>
        <v>92.84</v>
      </c>
      <c r="G14" s="117"/>
      <c r="H14" s="115" t="s">
        <v>167</v>
      </c>
      <c r="I14" s="111" t="s">
        <v>64</v>
      </c>
      <c r="J14" s="31" t="s">
        <v>168</v>
      </c>
      <c r="K14" s="112" t="n">
        <v>1</v>
      </c>
      <c r="L14" s="122" t="n">
        <v>10</v>
      </c>
      <c r="M14" s="67" t="n">
        <f aca="false">PREÇOS!$D$4*(1+PARÂMETROS!$D$8)</f>
        <v>10.551724137931</v>
      </c>
      <c r="N14" s="114" t="n">
        <f aca="false">M14*L14*K14</f>
        <v>105.51724137931</v>
      </c>
    </row>
    <row r="15" customFormat="false" ht="15.75" hidden="false" customHeight="false" outlineLevel="0" collapsed="false">
      <c r="B15" s="115" t="s">
        <v>170</v>
      </c>
      <c r="C15" s="116" t="n">
        <f aca="false">PREÇOS!$H$5</f>
        <v>8.8</v>
      </c>
      <c r="D15" s="31" t="n">
        <v>2</v>
      </c>
      <c r="E15" s="67" t="n">
        <f aca="false">PREÇOS!$E$4</f>
        <v>10.55</v>
      </c>
      <c r="F15" s="114" t="n">
        <f aca="false">E15*D15*C15</f>
        <v>185.68</v>
      </c>
      <c r="G15" s="117"/>
      <c r="H15" s="123" t="s">
        <v>171</v>
      </c>
      <c r="I15" s="123"/>
      <c r="J15" s="123"/>
      <c r="K15" s="123"/>
      <c r="L15" s="123"/>
      <c r="M15" s="123"/>
      <c r="N15" s="124" t="n">
        <f aca="false">SUM(N4:N14)</f>
        <v>5192.35405793104</v>
      </c>
    </row>
    <row r="16" customFormat="false" ht="15" hidden="false" customHeight="true" outlineLevel="0" collapsed="false">
      <c r="B16" s="125" t="s">
        <v>41</v>
      </c>
      <c r="C16" s="125"/>
      <c r="D16" s="125"/>
      <c r="E16" s="125"/>
      <c r="F16" s="126" t="n">
        <f aca="false">SUM(F5:F15)</f>
        <v>6164.664</v>
      </c>
      <c r="G16" s="127"/>
      <c r="H16" s="128" t="s">
        <v>172</v>
      </c>
      <c r="I16" s="128"/>
      <c r="J16" s="128"/>
      <c r="K16" s="128"/>
      <c r="L16" s="128"/>
      <c r="M16" s="128"/>
      <c r="N16" s="128"/>
    </row>
    <row r="17" customFormat="false" ht="15" hidden="false" customHeight="false" outlineLevel="0" collapsed="false">
      <c r="B17" s="109" t="s">
        <v>173</v>
      </c>
      <c r="C17" s="109"/>
      <c r="D17" s="109"/>
      <c r="E17" s="109"/>
      <c r="F17" s="109"/>
      <c r="G17" s="88"/>
      <c r="H17" s="106" t="s">
        <v>17</v>
      </c>
      <c r="I17" s="106"/>
      <c r="J17" s="106"/>
      <c r="K17" s="129" t="s">
        <v>70</v>
      </c>
      <c r="L17" s="129" t="s">
        <v>61</v>
      </c>
      <c r="M17" s="129" t="s">
        <v>71</v>
      </c>
      <c r="N17" s="130"/>
      <c r="O17" s="65"/>
      <c r="P17" s="65"/>
    </row>
    <row r="18" customFormat="false" ht="15" hidden="false" customHeight="true" outlineLevel="0" collapsed="false">
      <c r="B18" s="115" t="s">
        <v>174</v>
      </c>
      <c r="C18" s="116" t="n">
        <f aca="false">PREÇOS!$H$5</f>
        <v>8.8</v>
      </c>
      <c r="D18" s="31" t="n">
        <v>2</v>
      </c>
      <c r="E18" s="67" t="n">
        <f aca="false">PREÇOS!$E$3</f>
        <v>16.39</v>
      </c>
      <c r="F18" s="114" t="n">
        <f aca="false">E18*D18*C18</f>
        <v>288.464</v>
      </c>
      <c r="G18" s="117"/>
      <c r="H18" s="115" t="s">
        <v>175</v>
      </c>
      <c r="I18" s="115"/>
      <c r="J18" s="115"/>
      <c r="K18" s="116" t="s">
        <v>109</v>
      </c>
      <c r="L18" s="31" t="n">
        <v>2</v>
      </c>
      <c r="M18" s="67" t="n">
        <f aca="false">PREÇOS!D35</f>
        <v>4800</v>
      </c>
      <c r="N18" s="114" t="n">
        <f aca="false">M18*L18</f>
        <v>9600</v>
      </c>
      <c r="O18" s="65"/>
      <c r="P18" s="65"/>
    </row>
    <row r="19" customFormat="false" ht="15" hidden="false" customHeight="true" outlineLevel="0" collapsed="false">
      <c r="B19" s="115" t="s">
        <v>176</v>
      </c>
      <c r="C19" s="116" t="n">
        <f aca="false">PREÇOS!$H$5</f>
        <v>8.8</v>
      </c>
      <c r="D19" s="31" t="n">
        <v>2</v>
      </c>
      <c r="E19" s="67" t="n">
        <v>10.55</v>
      </c>
      <c r="F19" s="114" t="n">
        <f aca="false">E19*D19*C19</f>
        <v>185.68</v>
      </c>
      <c r="G19" s="117"/>
      <c r="H19" s="115" t="s">
        <v>177</v>
      </c>
      <c r="I19" s="115"/>
      <c r="J19" s="115"/>
      <c r="K19" s="116" t="s">
        <v>109</v>
      </c>
      <c r="L19" s="31" t="n">
        <v>1</v>
      </c>
      <c r="M19" s="67" t="n">
        <f aca="false">PREÇOS!D36</f>
        <v>200</v>
      </c>
      <c r="N19" s="114" t="n">
        <f aca="false">M19*L19</f>
        <v>200</v>
      </c>
      <c r="O19" s="65"/>
    </row>
    <row r="20" customFormat="false" ht="15" hidden="false" customHeight="true" outlineLevel="0" collapsed="false">
      <c r="B20" s="115" t="s">
        <v>178</v>
      </c>
      <c r="C20" s="116" t="n">
        <f aca="false">PREÇOS!$H$5</f>
        <v>8.8</v>
      </c>
      <c r="D20" s="31" t="n">
        <v>4</v>
      </c>
      <c r="E20" s="67" t="n">
        <f aca="false">PREÇOS!$E$4</f>
        <v>10.55</v>
      </c>
      <c r="F20" s="114" t="n">
        <f aca="false">E20*D20*C20</f>
        <v>371.36</v>
      </c>
      <c r="G20" s="117"/>
      <c r="H20" s="131" t="s">
        <v>41</v>
      </c>
      <c r="I20" s="131"/>
      <c r="J20" s="131"/>
      <c r="K20" s="131"/>
      <c r="L20" s="131"/>
      <c r="M20" s="131"/>
      <c r="N20" s="132" t="n">
        <f aca="false">SUM(N18:N19)</f>
        <v>9800</v>
      </c>
      <c r="O20" s="65"/>
    </row>
    <row r="21" customFormat="false" ht="15.75" hidden="false" customHeight="true" outlineLevel="0" collapsed="false">
      <c r="B21" s="125" t="s">
        <v>41</v>
      </c>
      <c r="C21" s="125"/>
      <c r="D21" s="125"/>
      <c r="E21" s="125"/>
      <c r="F21" s="126" t="n">
        <f aca="false">SUM(F18:F20)</f>
        <v>845.504</v>
      </c>
      <c r="G21" s="127"/>
      <c r="H21" s="133" t="s">
        <v>179</v>
      </c>
      <c r="I21" s="133"/>
      <c r="J21" s="133"/>
      <c r="K21" s="133"/>
      <c r="L21" s="133"/>
      <c r="M21" s="133"/>
      <c r="N21" s="134" t="n">
        <f aca="false">N20/22</f>
        <v>445.454545454545</v>
      </c>
      <c r="O21" s="65"/>
    </row>
    <row r="22" customFormat="false" ht="30" hidden="false" customHeight="true" outlineLevel="0" collapsed="false">
      <c r="B22" s="109" t="s">
        <v>180</v>
      </c>
      <c r="C22" s="109"/>
      <c r="D22" s="109"/>
      <c r="E22" s="109"/>
      <c r="F22" s="109"/>
      <c r="G22" s="88"/>
      <c r="H22" s="135" t="s">
        <v>181</v>
      </c>
      <c r="I22" s="135"/>
      <c r="J22" s="135"/>
      <c r="K22" s="135"/>
      <c r="L22" s="135"/>
      <c r="M22" s="136" t="s">
        <v>182</v>
      </c>
      <c r="N22" s="137" t="s">
        <v>26</v>
      </c>
      <c r="O22" s="65"/>
    </row>
    <row r="23" customFormat="false" ht="15" hidden="false" customHeight="false" outlineLevel="0" collapsed="false">
      <c r="B23" s="115" t="s">
        <v>151</v>
      </c>
      <c r="C23" s="116" t="n">
        <v>8.8</v>
      </c>
      <c r="D23" s="31" t="n">
        <v>2</v>
      </c>
      <c r="E23" s="67" t="n">
        <f aca="false">PREÇOS!$E$3</f>
        <v>16.39</v>
      </c>
      <c r="F23" s="114" t="n">
        <f aca="false">E23*D23*C23</f>
        <v>288.464</v>
      </c>
      <c r="G23" s="117"/>
      <c r="H23" s="135"/>
      <c r="I23" s="135"/>
      <c r="J23" s="135"/>
      <c r="K23" s="135"/>
      <c r="L23" s="135"/>
      <c r="M23" s="138" t="n">
        <v>1</v>
      </c>
      <c r="N23" s="139" t="n">
        <f aca="false">$N$21/M23</f>
        <v>445.454545454545</v>
      </c>
    </row>
    <row r="24" customFormat="false" ht="15" hidden="false" customHeight="false" outlineLevel="0" collapsed="false">
      <c r="B24" s="115" t="s">
        <v>183</v>
      </c>
      <c r="C24" s="116" t="n">
        <v>8.8</v>
      </c>
      <c r="D24" s="31" t="n">
        <v>1</v>
      </c>
      <c r="E24" s="67" t="n">
        <f aca="false">PREÇOS!$E$4</f>
        <v>10.55</v>
      </c>
      <c r="F24" s="114" t="n">
        <f aca="false">E24*D24*C24</f>
        <v>92.84</v>
      </c>
      <c r="G24" s="117"/>
      <c r="H24" s="135"/>
      <c r="I24" s="135"/>
      <c r="J24" s="135"/>
      <c r="K24" s="135"/>
      <c r="L24" s="135"/>
      <c r="M24" s="138" t="n">
        <v>2</v>
      </c>
      <c r="N24" s="139" t="n">
        <f aca="false">$N$21/M24</f>
        <v>222.727272727273</v>
      </c>
    </row>
    <row r="25" customFormat="false" ht="15.75" hidden="false" customHeight="true" outlineLevel="0" collapsed="false">
      <c r="B25" s="140" t="s">
        <v>41</v>
      </c>
      <c r="C25" s="140"/>
      <c r="D25" s="140"/>
      <c r="E25" s="140"/>
      <c r="F25" s="141" t="n">
        <f aca="false">SUM(F22:F24)</f>
        <v>381.304</v>
      </c>
      <c r="G25" s="127"/>
      <c r="H25" s="135"/>
      <c r="I25" s="135"/>
      <c r="J25" s="135"/>
      <c r="K25" s="135"/>
      <c r="L25" s="135"/>
      <c r="M25" s="138" t="n">
        <v>3</v>
      </c>
      <c r="N25" s="139" t="n">
        <f aca="false">$N$21/M25</f>
        <v>148.484848484848</v>
      </c>
    </row>
    <row r="26" customFormat="false" ht="15" hidden="false" customHeight="true" outlineLevel="0" collapsed="false">
      <c r="B26" s="128" t="s">
        <v>184</v>
      </c>
      <c r="C26" s="128"/>
      <c r="D26" s="128"/>
      <c r="E26" s="128"/>
      <c r="F26" s="128"/>
      <c r="G26" s="142"/>
      <c r="H26" s="135"/>
      <c r="I26" s="135"/>
      <c r="J26" s="135"/>
      <c r="K26" s="135"/>
      <c r="L26" s="135"/>
      <c r="M26" s="138" t="n">
        <v>3.5</v>
      </c>
      <c r="N26" s="139" t="n">
        <f aca="false">$N$21/M26</f>
        <v>127.272727272727</v>
      </c>
    </row>
    <row r="27" customFormat="false" ht="15.75" hidden="false" customHeight="false" outlineLevel="0" collapsed="false">
      <c r="B27" s="143" t="s">
        <v>17</v>
      </c>
      <c r="C27" s="144" t="s">
        <v>70</v>
      </c>
      <c r="D27" s="144" t="s">
        <v>61</v>
      </c>
      <c r="E27" s="144" t="s">
        <v>71</v>
      </c>
      <c r="F27" s="145"/>
      <c r="G27" s="146"/>
      <c r="H27" s="135"/>
      <c r="I27" s="135"/>
      <c r="J27" s="135"/>
      <c r="K27" s="135"/>
      <c r="L27" s="135"/>
      <c r="M27" s="147" t="n">
        <v>4</v>
      </c>
      <c r="N27" s="139" t="n">
        <f aca="false">$N$21/M27</f>
        <v>111.363636363636</v>
      </c>
    </row>
    <row r="28" customFormat="false" ht="30" hidden="false" customHeight="true" outlineLevel="0" collapsed="false">
      <c r="B28" s="115" t="s">
        <v>108</v>
      </c>
      <c r="C28" s="116" t="s">
        <v>109</v>
      </c>
      <c r="D28" s="31" t="n">
        <v>1</v>
      </c>
      <c r="E28" s="67" t="n">
        <f aca="false">PREÇOS!D32</f>
        <v>35000</v>
      </c>
      <c r="F28" s="114" t="n">
        <f aca="false">E28*D28</f>
        <v>35000</v>
      </c>
      <c r="G28" s="117"/>
      <c r="H28" s="135" t="s">
        <v>185</v>
      </c>
      <c r="I28" s="135"/>
      <c r="J28" s="135"/>
      <c r="K28" s="135"/>
      <c r="L28" s="135"/>
      <c r="M28" s="136" t="s">
        <v>182</v>
      </c>
      <c r="N28" s="137" t="s">
        <v>26</v>
      </c>
    </row>
    <row r="29" customFormat="false" ht="15" hidden="false" customHeight="false" outlineLevel="0" collapsed="false">
      <c r="B29" s="115" t="s">
        <v>110</v>
      </c>
      <c r="C29" s="116" t="s">
        <v>109</v>
      </c>
      <c r="D29" s="31" t="n">
        <v>1</v>
      </c>
      <c r="E29" s="67" t="n">
        <f aca="false">PREÇOS!D33</f>
        <v>10000</v>
      </c>
      <c r="F29" s="114" t="n">
        <f aca="false">E29*D29</f>
        <v>10000</v>
      </c>
      <c r="G29" s="117"/>
      <c r="H29" s="135"/>
      <c r="I29" s="135"/>
      <c r="J29" s="135"/>
      <c r="K29" s="135"/>
      <c r="L29" s="135"/>
      <c r="M29" s="138" t="n">
        <v>1</v>
      </c>
      <c r="N29" s="139" t="n">
        <f aca="false">N15+N23</f>
        <v>5637.80860338558</v>
      </c>
    </row>
    <row r="30" customFormat="false" ht="15" hidden="false" customHeight="false" outlineLevel="0" collapsed="false">
      <c r="B30" s="115" t="s">
        <v>111</v>
      </c>
      <c r="C30" s="116" t="s">
        <v>109</v>
      </c>
      <c r="D30" s="31" t="n">
        <v>1</v>
      </c>
      <c r="E30" s="67" t="n">
        <f aca="false">PREÇOS!D34</f>
        <v>833.5</v>
      </c>
      <c r="F30" s="114" t="n">
        <f aca="false">E30*D30</f>
        <v>833.5</v>
      </c>
      <c r="G30" s="117"/>
      <c r="H30" s="135"/>
      <c r="I30" s="135"/>
      <c r="J30" s="135"/>
      <c r="K30" s="135"/>
      <c r="L30" s="135"/>
      <c r="M30" s="138" t="n">
        <v>2</v>
      </c>
      <c r="N30" s="139" t="n">
        <f aca="false">N15+N24</f>
        <v>5415.08133065831</v>
      </c>
    </row>
    <row r="31" customFormat="false" ht="15" hidden="false" customHeight="true" outlineLevel="0" collapsed="false">
      <c r="B31" s="131" t="s">
        <v>41</v>
      </c>
      <c r="C31" s="131"/>
      <c r="D31" s="131"/>
      <c r="E31" s="131"/>
      <c r="F31" s="132" t="n">
        <f aca="false">SUM(F28:F30)</f>
        <v>45833.5</v>
      </c>
      <c r="G31" s="127"/>
      <c r="H31" s="135"/>
      <c r="I31" s="135"/>
      <c r="J31" s="135"/>
      <c r="K31" s="135"/>
      <c r="L31" s="135"/>
      <c r="M31" s="138" t="n">
        <v>3</v>
      </c>
      <c r="N31" s="139" t="n">
        <f aca="false">N15+N25</f>
        <v>5340.83890641588</v>
      </c>
    </row>
    <row r="32" customFormat="false" ht="15" hidden="false" customHeight="false" outlineLevel="0" collapsed="false">
      <c r="B32" s="133" t="s">
        <v>179</v>
      </c>
      <c r="C32" s="133"/>
      <c r="D32" s="133"/>
      <c r="E32" s="133"/>
      <c r="F32" s="134" t="n">
        <f aca="false">F31/22</f>
        <v>2083.34090909091</v>
      </c>
      <c r="G32" s="148"/>
      <c r="H32" s="135"/>
      <c r="I32" s="135"/>
      <c r="J32" s="135"/>
      <c r="K32" s="135"/>
      <c r="L32" s="135"/>
      <c r="M32" s="138" t="n">
        <v>3.5</v>
      </c>
      <c r="N32" s="139" t="n">
        <f aca="false">N15+N26</f>
        <v>5319.62678520376</v>
      </c>
    </row>
    <row r="33" customFormat="false" ht="15.75" hidden="false" customHeight="true" outlineLevel="0" collapsed="false">
      <c r="B33" s="140" t="s">
        <v>186</v>
      </c>
      <c r="C33" s="140"/>
      <c r="D33" s="140"/>
      <c r="E33" s="140"/>
      <c r="F33" s="141" t="n">
        <f aca="false">F32+F25+F21+F16</f>
        <v>9474.81290909091</v>
      </c>
      <c r="G33" s="127"/>
      <c r="H33" s="135"/>
      <c r="I33" s="135"/>
      <c r="J33" s="135"/>
      <c r="K33" s="135"/>
      <c r="L33" s="135"/>
      <c r="M33" s="147" t="n">
        <v>4</v>
      </c>
      <c r="N33" s="139" t="n">
        <f aca="false">N15+N27</f>
        <v>5303.71769429467</v>
      </c>
    </row>
    <row r="34" customFormat="false" ht="30" hidden="false" customHeight="true" outlineLevel="0" collapsed="false">
      <c r="B34" s="149"/>
      <c r="C34" s="150"/>
      <c r="D34" s="136" t="s">
        <v>187</v>
      </c>
      <c r="E34" s="136" t="s">
        <v>182</v>
      </c>
      <c r="F34" s="137" t="s">
        <v>26</v>
      </c>
      <c r="H34" s="135" t="s">
        <v>188</v>
      </c>
      <c r="I34" s="135"/>
      <c r="J34" s="135"/>
      <c r="K34" s="135"/>
      <c r="L34" s="135"/>
      <c r="M34" s="136" t="s">
        <v>182</v>
      </c>
      <c r="N34" s="137" t="s">
        <v>26</v>
      </c>
    </row>
    <row r="35" customFormat="false" ht="15" hidden="false" customHeight="false" outlineLevel="0" collapsed="false">
      <c r="B35" s="151"/>
      <c r="C35" s="152"/>
      <c r="D35" s="64" t="n">
        <f aca="false">$F$33</f>
        <v>9474.81290909091</v>
      </c>
      <c r="E35" s="138" t="n">
        <v>1</v>
      </c>
      <c r="F35" s="139" t="n">
        <f aca="false">$F$33/E35</f>
        <v>9474.81290909091</v>
      </c>
      <c r="H35" s="135"/>
      <c r="I35" s="135"/>
      <c r="J35" s="135"/>
      <c r="K35" s="135"/>
      <c r="L35" s="135"/>
      <c r="M35" s="138" t="n">
        <v>1</v>
      </c>
      <c r="N35" s="139" t="n">
        <f aca="false">N29*M29</f>
        <v>5637.80860338558</v>
      </c>
      <c r="O35" s="65"/>
    </row>
    <row r="36" customFormat="false" ht="15" hidden="false" customHeight="false" outlineLevel="0" collapsed="false">
      <c r="B36" s="151"/>
      <c r="C36" s="152"/>
      <c r="D36" s="64" t="n">
        <f aca="false">$F$33</f>
        <v>9474.81290909091</v>
      </c>
      <c r="E36" s="138" t="n">
        <v>2</v>
      </c>
      <c r="F36" s="139" t="n">
        <f aca="false">$F$33/E36</f>
        <v>4737.40645454545</v>
      </c>
      <c r="H36" s="135"/>
      <c r="I36" s="135"/>
      <c r="J36" s="135"/>
      <c r="K36" s="135"/>
      <c r="L36" s="135"/>
      <c r="M36" s="138" t="n">
        <v>2</v>
      </c>
      <c r="N36" s="139" t="n">
        <f aca="false">N30*M30</f>
        <v>10830.1626613166</v>
      </c>
      <c r="O36" s="65"/>
    </row>
    <row r="37" customFormat="false" ht="15" hidden="false" customHeight="false" outlineLevel="0" collapsed="false">
      <c r="B37" s="151"/>
      <c r="C37" s="152"/>
      <c r="D37" s="64" t="n">
        <f aca="false">$F$33</f>
        <v>9474.81290909091</v>
      </c>
      <c r="E37" s="138" t="n">
        <v>3</v>
      </c>
      <c r="F37" s="139" t="n">
        <f aca="false">$F$33/E37</f>
        <v>3158.27096969697</v>
      </c>
      <c r="H37" s="135"/>
      <c r="I37" s="135"/>
      <c r="J37" s="135"/>
      <c r="K37" s="135"/>
      <c r="L37" s="135"/>
      <c r="M37" s="138" t="n">
        <v>3</v>
      </c>
      <c r="N37" s="139" t="n">
        <f aca="false">N31*M31</f>
        <v>16022.5167192477</v>
      </c>
      <c r="O37" s="65"/>
    </row>
    <row r="38" customFormat="false" ht="15" hidden="false" customHeight="false" outlineLevel="0" collapsed="false">
      <c r="B38" s="151"/>
      <c r="C38" s="152"/>
      <c r="D38" s="64" t="n">
        <f aca="false">$F$33</f>
        <v>9474.81290909091</v>
      </c>
      <c r="E38" s="138" t="n">
        <v>3.5</v>
      </c>
      <c r="F38" s="139" t="n">
        <f aca="false">$F$33/E38</f>
        <v>2707.0894025974</v>
      </c>
      <c r="H38" s="135"/>
      <c r="I38" s="135"/>
      <c r="J38" s="135"/>
      <c r="K38" s="135"/>
      <c r="L38" s="135"/>
      <c r="M38" s="138" t="n">
        <v>3.5</v>
      </c>
      <c r="N38" s="139" t="n">
        <f aca="false">N32*M32</f>
        <v>18618.6937482132</v>
      </c>
      <c r="O38" s="65"/>
    </row>
    <row r="39" customFormat="false" ht="15.75" hidden="false" customHeight="false" outlineLevel="0" collapsed="false">
      <c r="B39" s="153"/>
      <c r="C39" s="154"/>
      <c r="D39" s="155" t="n">
        <f aca="false">$F$33</f>
        <v>9474.81290909091</v>
      </c>
      <c r="E39" s="147" t="n">
        <v>4</v>
      </c>
      <c r="F39" s="156" t="n">
        <f aca="false">$F$33/E39</f>
        <v>2368.70322727273</v>
      </c>
      <c r="H39" s="135"/>
      <c r="I39" s="135"/>
      <c r="J39" s="135"/>
      <c r="K39" s="135"/>
      <c r="L39" s="135"/>
      <c r="M39" s="147" t="n">
        <v>4</v>
      </c>
      <c r="N39" s="156" t="n">
        <f aca="false">N33*M33</f>
        <v>21214.8707771787</v>
      </c>
      <c r="O39" s="65"/>
    </row>
  </sheetData>
  <mergeCells count="26">
    <mergeCell ref="B1:N1"/>
    <mergeCell ref="B2:F2"/>
    <mergeCell ref="H2:N2"/>
    <mergeCell ref="B4:F4"/>
    <mergeCell ref="H4:H5"/>
    <mergeCell ref="H6:H7"/>
    <mergeCell ref="H8:H9"/>
    <mergeCell ref="H15:M15"/>
    <mergeCell ref="B16:E16"/>
    <mergeCell ref="H16:N16"/>
    <mergeCell ref="B17:F17"/>
    <mergeCell ref="H17:J17"/>
    <mergeCell ref="H18:J18"/>
    <mergeCell ref="H19:J19"/>
    <mergeCell ref="H20:M20"/>
    <mergeCell ref="B21:E21"/>
    <mergeCell ref="H21:M21"/>
    <mergeCell ref="B22:F22"/>
    <mergeCell ref="H22:L27"/>
    <mergeCell ref="B25:E25"/>
    <mergeCell ref="B26:F26"/>
    <mergeCell ref="H28:L33"/>
    <mergeCell ref="B31:E31"/>
    <mergeCell ref="B32:E32"/>
    <mergeCell ref="B33:E33"/>
    <mergeCell ref="H34:L39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X33"/>
  <sheetViews>
    <sheetView showFormulas="false" showGridLines="true" showRowColHeaders="true" showZeros="true" rightToLeft="false" tabSelected="false" showOutlineSymbols="true" defaultGridColor="true" view="normal" topLeftCell="Y1" colorId="64" zoomScale="100" zoomScaleNormal="100" zoomScalePageLayoutView="100" workbookViewId="0">
      <selection pane="topLeft" activeCell="V13" activeCellId="0" sqref="V13"/>
    </sheetView>
  </sheetViews>
  <sheetFormatPr defaultRowHeight="15" zeroHeight="false" outlineLevelRow="0" outlineLevelCol="0"/>
  <cols>
    <col collapsed="false" customWidth="true" hidden="false" outlineLevel="0" max="1" min="1" style="0" width="8.57"/>
    <col collapsed="false" customWidth="true" hidden="false" outlineLevel="0" max="2" min="2" style="0" width="3.14"/>
    <col collapsed="false" customWidth="true" hidden="false" outlineLevel="0" max="3" min="3" style="0" width="9.42"/>
    <col collapsed="false" customWidth="true" hidden="false" outlineLevel="0" max="4" min="4" style="0" width="11.14"/>
    <col collapsed="false" customWidth="true" hidden="false" outlineLevel="0" max="5" min="5" style="0" width="8.42"/>
    <col collapsed="false" customWidth="true" hidden="false" outlineLevel="0" max="7" min="6" style="0" width="9.42"/>
    <col collapsed="false" customWidth="true" hidden="false" outlineLevel="0" max="8" min="8" style="0" width="7.42"/>
    <col collapsed="false" customWidth="true" hidden="false" outlineLevel="0" max="12" min="9" style="0" width="8.57"/>
    <col collapsed="false" customWidth="true" hidden="false" outlineLevel="0" max="13" min="13" style="0" width="11.14"/>
    <col collapsed="false" customWidth="true" hidden="false" outlineLevel="0" max="15" min="14" style="0" width="8.57"/>
    <col collapsed="false" customWidth="true" hidden="false" outlineLevel="0" max="16" min="16" style="0" width="3.86"/>
    <col collapsed="false" customWidth="true" hidden="false" outlineLevel="0" max="19" min="17" style="0" width="8.57"/>
    <col collapsed="false" customWidth="true" hidden="false" outlineLevel="0" max="20" min="20" style="0" width="10"/>
    <col collapsed="false" customWidth="true" hidden="false" outlineLevel="0" max="21" min="21" style="0" width="10.99"/>
    <col collapsed="false" customWidth="true" hidden="false" outlineLevel="0" max="22" min="22" style="0" width="9.29"/>
    <col collapsed="false" customWidth="true" hidden="false" outlineLevel="0" max="23" min="23" style="0" width="9.42"/>
    <col collapsed="false" customWidth="true" hidden="false" outlineLevel="0" max="24" min="24" style="0" width="3.14"/>
    <col collapsed="false" customWidth="true" hidden="false" outlineLevel="0" max="1025" min="25" style="0" width="8.57"/>
  </cols>
  <sheetData>
    <row r="1" customFormat="false" ht="36" hidden="false" customHeight="true" outlineLevel="0" collapsed="false">
      <c r="C1" s="157" t="s">
        <v>189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</row>
    <row r="2" customFormat="false" ht="24" hidden="false" customHeight="false" outlineLevel="0" collapsed="false">
      <c r="B2" s="158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60"/>
      <c r="R2" s="160"/>
      <c r="S2" s="159"/>
      <c r="T2" s="159"/>
      <c r="U2" s="159"/>
      <c r="V2" s="159"/>
      <c r="W2" s="159"/>
      <c r="X2" s="161"/>
    </row>
    <row r="3" customFormat="false" ht="15" hidden="false" customHeight="false" outlineLevel="0" collapsed="false">
      <c r="B3" s="162"/>
      <c r="C3" s="163" t="s">
        <v>190</v>
      </c>
      <c r="D3" s="163"/>
      <c r="E3" s="164"/>
      <c r="F3" s="163" t="s">
        <v>191</v>
      </c>
      <c r="G3" s="163"/>
      <c r="H3" s="164"/>
      <c r="I3" s="164"/>
      <c r="J3" s="164"/>
      <c r="K3" s="164"/>
      <c r="L3" s="164"/>
      <c r="M3" s="164"/>
      <c r="N3" s="164"/>
      <c r="O3" s="164"/>
      <c r="P3" s="164"/>
      <c r="S3" s="164"/>
      <c r="T3" s="165" t="s">
        <v>192</v>
      </c>
      <c r="U3" s="165"/>
      <c r="V3" s="165"/>
      <c r="W3" s="165"/>
      <c r="X3" s="166"/>
    </row>
    <row r="4" customFormat="false" ht="15" hidden="false" customHeight="false" outlineLevel="0" collapsed="false">
      <c r="B4" s="162"/>
      <c r="C4" s="167" t="s">
        <v>17</v>
      </c>
      <c r="D4" s="168" t="s">
        <v>76</v>
      </c>
      <c r="F4" s="167" t="s">
        <v>17</v>
      </c>
      <c r="G4" s="168" t="s">
        <v>76</v>
      </c>
      <c r="H4" s="164"/>
      <c r="O4" s="164"/>
      <c r="P4" s="164"/>
      <c r="S4" s="169"/>
      <c r="T4" s="170" t="s">
        <v>193</v>
      </c>
      <c r="U4" s="171" t="s">
        <v>194</v>
      </c>
      <c r="V4" s="171" t="s">
        <v>195</v>
      </c>
      <c r="W4" s="172" t="s">
        <v>76</v>
      </c>
      <c r="X4" s="166"/>
    </row>
    <row r="5" customFormat="false" ht="15" hidden="false" customHeight="false" outlineLevel="0" collapsed="false">
      <c r="B5" s="162"/>
      <c r="C5" s="173" t="s">
        <v>196</v>
      </c>
      <c r="D5" s="174" t="n">
        <v>98.79</v>
      </c>
      <c r="F5" s="173" t="s">
        <v>196</v>
      </c>
      <c r="G5" s="174" t="n">
        <v>116.61</v>
      </c>
      <c r="H5" s="164"/>
      <c r="K5" s="175"/>
      <c r="L5" s="176"/>
      <c r="P5" s="164"/>
      <c r="Q5" s="177" t="s">
        <v>197</v>
      </c>
      <c r="R5" s="178" t="n">
        <f aca="false">N9*Q12</f>
        <v>7.8128</v>
      </c>
      <c r="S5" s="164"/>
      <c r="T5" s="179" t="n">
        <v>1.6</v>
      </c>
      <c r="U5" s="180" t="n">
        <v>1.2</v>
      </c>
      <c r="V5" s="181" t="n">
        <v>1</v>
      </c>
      <c r="W5" s="182" t="n">
        <f aca="false">V5*T5*U5</f>
        <v>1.92</v>
      </c>
      <c r="X5" s="166"/>
    </row>
    <row r="6" customFormat="false" ht="15" hidden="false" customHeight="false" outlineLevel="0" collapsed="false">
      <c r="B6" s="162"/>
      <c r="C6" s="173" t="s">
        <v>198</v>
      </c>
      <c r="D6" s="174" t="n">
        <f aca="false">D5*2</f>
        <v>197.58</v>
      </c>
      <c r="F6" s="173" t="s">
        <v>198</v>
      </c>
      <c r="G6" s="174" t="n">
        <f aca="false">G5*2</f>
        <v>233.22</v>
      </c>
      <c r="H6" s="164"/>
      <c r="K6" s="164"/>
      <c r="L6" s="164"/>
      <c r="P6" s="164"/>
      <c r="S6" s="164"/>
      <c r="T6" s="179" t="n">
        <v>1.2</v>
      </c>
      <c r="U6" s="180" t="n">
        <v>1.2</v>
      </c>
      <c r="V6" s="183" t="n">
        <v>2</v>
      </c>
      <c r="W6" s="182" t="n">
        <f aca="false">V6*T6*U6</f>
        <v>2.88</v>
      </c>
      <c r="X6" s="166"/>
    </row>
    <row r="7" customFormat="false" ht="15.75" hidden="false" customHeight="false" outlineLevel="0" collapsed="false">
      <c r="B7" s="162"/>
      <c r="C7" s="184" t="s">
        <v>199</v>
      </c>
      <c r="D7" s="185" t="n">
        <f aca="false">D5*2</f>
        <v>197.58</v>
      </c>
      <c r="F7" s="184" t="s">
        <v>199</v>
      </c>
      <c r="G7" s="185" t="n">
        <f aca="false">G5*2</f>
        <v>233.22</v>
      </c>
      <c r="H7" s="164"/>
      <c r="K7" s="164"/>
      <c r="L7" s="164"/>
      <c r="M7" s="164"/>
      <c r="N7" s="164"/>
      <c r="P7" s="164"/>
      <c r="S7" s="164"/>
      <c r="T7" s="179" t="n">
        <v>0.6</v>
      </c>
      <c r="U7" s="180" t="n">
        <v>1.5</v>
      </c>
      <c r="V7" s="183" t="n">
        <v>1</v>
      </c>
      <c r="W7" s="182" t="n">
        <f aca="false">V7*T7*U7</f>
        <v>0.9</v>
      </c>
      <c r="X7" s="166"/>
    </row>
    <row r="8" customFormat="false" ht="15.75" hidden="false" customHeight="false" outlineLevel="0" collapsed="false">
      <c r="B8" s="162"/>
      <c r="C8" s="164"/>
      <c r="D8" s="164"/>
      <c r="K8" s="164"/>
      <c r="L8" s="164"/>
      <c r="M8" s="164"/>
      <c r="N8" s="164"/>
      <c r="P8" s="164"/>
      <c r="S8" s="164"/>
      <c r="T8" s="179" t="n">
        <v>0.6</v>
      </c>
      <c r="U8" s="180" t="n">
        <v>0.6</v>
      </c>
      <c r="V8" s="183" t="n">
        <v>1</v>
      </c>
      <c r="W8" s="182" t="n">
        <f aca="false">V8*T8*U8</f>
        <v>0.36</v>
      </c>
      <c r="X8" s="166"/>
    </row>
    <row r="9" customFormat="false" ht="15.75" hidden="false" customHeight="false" outlineLevel="0" collapsed="false">
      <c r="B9" s="162"/>
      <c r="G9" s="186"/>
      <c r="H9" s="187"/>
      <c r="I9" s="188"/>
      <c r="J9" s="188"/>
      <c r="L9" s="164"/>
      <c r="M9" s="164"/>
      <c r="N9" s="189" t="n">
        <v>2.57</v>
      </c>
      <c r="P9" s="164"/>
      <c r="Q9" s="164"/>
      <c r="R9" s="164"/>
      <c r="S9" s="164"/>
      <c r="T9" s="179" t="n">
        <v>0.8</v>
      </c>
      <c r="U9" s="180" t="n">
        <v>2.1</v>
      </c>
      <c r="V9" s="183" t="n">
        <v>7</v>
      </c>
      <c r="W9" s="182" t="n">
        <f aca="false">V9*T9*U9</f>
        <v>11.76</v>
      </c>
      <c r="X9" s="166"/>
    </row>
    <row r="10" customFormat="false" ht="15.75" hidden="false" customHeight="false" outlineLevel="0" collapsed="false">
      <c r="B10" s="162"/>
      <c r="G10" s="188"/>
      <c r="H10" s="187"/>
      <c r="I10" s="188"/>
      <c r="J10" s="188"/>
      <c r="K10" s="164"/>
      <c r="L10" s="164"/>
      <c r="M10" s="164"/>
      <c r="N10" s="164"/>
      <c r="P10" s="164"/>
      <c r="Q10" s="164"/>
      <c r="R10" s="164"/>
      <c r="S10" s="164"/>
      <c r="T10" s="190" t="s">
        <v>41</v>
      </c>
      <c r="U10" s="190"/>
      <c r="V10" s="190"/>
      <c r="W10" s="191" t="n">
        <f aca="false">SUM(W5:W11)</f>
        <v>17.82</v>
      </c>
      <c r="X10" s="166"/>
    </row>
    <row r="11" customFormat="false" ht="15.75" hidden="false" customHeight="false" outlineLevel="0" collapsed="false">
      <c r="B11" s="162"/>
      <c r="G11" s="187"/>
      <c r="H11" s="187"/>
      <c r="I11" s="188"/>
      <c r="J11" s="188"/>
      <c r="K11" s="164"/>
      <c r="L11" s="164"/>
      <c r="M11" s="164"/>
      <c r="N11" s="164"/>
      <c r="P11" s="164"/>
      <c r="Q11" s="164"/>
      <c r="R11" s="164"/>
      <c r="S11" s="164"/>
      <c r="X11" s="166"/>
    </row>
    <row r="12" customFormat="false" ht="15.75" hidden="false" customHeight="false" outlineLevel="0" collapsed="false">
      <c r="B12" s="162"/>
      <c r="G12" s="187"/>
      <c r="H12" s="187"/>
      <c r="I12" s="188"/>
      <c r="J12" s="192"/>
      <c r="K12" s="164"/>
      <c r="L12" s="164"/>
      <c r="N12" s="164"/>
      <c r="P12" s="164"/>
      <c r="Q12" s="189" t="n">
        <v>3.04</v>
      </c>
      <c r="R12" s="164"/>
      <c r="S12" s="164"/>
      <c r="W12" s="193"/>
      <c r="X12" s="166"/>
    </row>
    <row r="13" customFormat="false" ht="15" hidden="false" customHeight="false" outlineLevel="0" collapsed="false">
      <c r="B13" s="162"/>
      <c r="C13" s="164"/>
      <c r="D13" s="164"/>
      <c r="E13" s="164"/>
      <c r="F13" s="164"/>
      <c r="G13" s="187"/>
      <c r="H13" s="187"/>
      <c r="I13" s="187"/>
      <c r="J13" s="187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6"/>
    </row>
    <row r="14" customFormat="false" ht="15" hidden="false" customHeight="false" outlineLevel="0" collapsed="false">
      <c r="B14" s="162"/>
      <c r="C14" s="164"/>
      <c r="D14" s="194" t="s">
        <v>197</v>
      </c>
      <c r="E14" s="195" t="n">
        <f aca="false">C18*E22</f>
        <v>14.906</v>
      </c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X14" s="166"/>
    </row>
    <row r="15" customFormat="false" ht="15" hidden="false" customHeight="false" outlineLevel="0" collapsed="false">
      <c r="B15" s="162"/>
      <c r="C15" s="164"/>
      <c r="D15" s="177" t="s">
        <v>200</v>
      </c>
      <c r="E15" s="196" t="n">
        <f aca="false">E14*2</f>
        <v>29.812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X15" s="166"/>
    </row>
    <row r="16" customFormat="false" ht="15" hidden="false" customHeight="false" outlineLevel="0" collapsed="false">
      <c r="B16" s="162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X16" s="166"/>
    </row>
    <row r="17" customFormat="false" ht="15.75" hidden="false" customHeight="false" outlineLevel="0" collapsed="false">
      <c r="B17" s="162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6"/>
    </row>
    <row r="18" customFormat="false" ht="15.75" hidden="false" customHeight="false" outlineLevel="0" collapsed="false">
      <c r="B18" s="162"/>
      <c r="C18" s="189" t="n">
        <v>2.57</v>
      </c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89" t="n">
        <v>1.05</v>
      </c>
      <c r="W18" s="164"/>
      <c r="X18" s="166"/>
    </row>
    <row r="19" customFormat="false" ht="15" hidden="false" customHeight="false" outlineLevel="0" collapsed="false">
      <c r="B19" s="162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6"/>
    </row>
    <row r="20" customFormat="false" ht="15.75" hidden="false" customHeight="false" outlineLevel="0" collapsed="false">
      <c r="B20" s="162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6"/>
    </row>
    <row r="21" customFormat="false" ht="15.75" hidden="false" customHeight="false" outlineLevel="0" collapsed="false">
      <c r="B21" s="162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89" t="n">
        <v>2.57</v>
      </c>
      <c r="R21" s="164"/>
      <c r="S21" s="164"/>
      <c r="T21" s="164"/>
      <c r="U21" s="164"/>
      <c r="V21" s="194" t="s">
        <v>201</v>
      </c>
      <c r="W21" s="195" t="n">
        <f aca="false">(V18*S25)/2</f>
        <v>3.654</v>
      </c>
      <c r="X21" s="166"/>
    </row>
    <row r="22" customFormat="false" ht="15.75" hidden="false" customHeight="false" outlineLevel="0" collapsed="false">
      <c r="B22" s="162"/>
      <c r="C22" s="164"/>
      <c r="D22" s="164"/>
      <c r="E22" s="197" t="n">
        <v>5.8</v>
      </c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94" t="s">
        <v>197</v>
      </c>
      <c r="W22" s="195" t="n">
        <f aca="false">S25*Q21</f>
        <v>17.8872</v>
      </c>
      <c r="X22" s="166"/>
    </row>
    <row r="23" customFormat="false" ht="15" hidden="false" customHeight="false" outlineLevel="0" collapsed="false">
      <c r="B23" s="162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94" t="s">
        <v>202</v>
      </c>
      <c r="W23" s="195" t="n">
        <f aca="false">SUM(W21:W22)</f>
        <v>21.5412</v>
      </c>
      <c r="X23" s="166"/>
    </row>
    <row r="24" customFormat="false" ht="15.75" hidden="false" customHeight="false" outlineLevel="0" collapsed="false">
      <c r="B24" s="162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77" t="s">
        <v>203</v>
      </c>
      <c r="W24" s="196" t="n">
        <f aca="false">W23*2</f>
        <v>43.0824</v>
      </c>
      <c r="X24" s="166"/>
    </row>
    <row r="25" customFormat="false" ht="15.75" hidden="false" customHeight="false" outlineLevel="0" collapsed="false">
      <c r="B25" s="162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89" t="n">
        <v>6.96</v>
      </c>
      <c r="T25" s="164"/>
      <c r="U25" s="164"/>
      <c r="V25" s="164"/>
      <c r="W25" s="164"/>
      <c r="X25" s="166"/>
    </row>
    <row r="26" customFormat="false" ht="15.75" hidden="false" customHeight="false" outlineLevel="0" collapsed="false">
      <c r="B26" s="162"/>
      <c r="C26" s="189" t="n">
        <v>2.47</v>
      </c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W26" s="164"/>
      <c r="X26" s="166"/>
    </row>
    <row r="27" customFormat="false" ht="15.75" hidden="false" customHeight="false" outlineLevel="0" collapsed="false">
      <c r="B27" s="162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6"/>
    </row>
    <row r="28" customFormat="false" ht="15.75" hidden="false" customHeight="false" outlineLevel="0" collapsed="false">
      <c r="B28" s="162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89" t="n">
        <v>2.47</v>
      </c>
      <c r="S28" s="164"/>
      <c r="T28" s="164"/>
      <c r="U28" s="177" t="s">
        <v>197</v>
      </c>
      <c r="V28" s="178" t="n">
        <f aca="false">R28*S32</f>
        <v>3.7297</v>
      </c>
      <c r="W28" s="164"/>
      <c r="X28" s="166"/>
    </row>
    <row r="29" customFormat="false" ht="15.75" hidden="false" customHeight="false" outlineLevel="0" collapsed="false">
      <c r="B29" s="162"/>
      <c r="C29" s="164"/>
      <c r="D29" s="164"/>
      <c r="E29" s="189" t="n">
        <v>3.5</v>
      </c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6"/>
    </row>
    <row r="30" customFormat="false" ht="15" hidden="false" customHeight="false" outlineLevel="0" collapsed="false">
      <c r="B30" s="162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6"/>
    </row>
    <row r="31" customFormat="false" ht="15.75" hidden="false" customHeight="false" outlineLevel="0" collapsed="false">
      <c r="B31" s="162"/>
      <c r="C31" s="164"/>
      <c r="D31" s="194" t="s">
        <v>197</v>
      </c>
      <c r="E31" s="195" t="n">
        <f aca="false">E29*C26</f>
        <v>8.645</v>
      </c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6"/>
    </row>
    <row r="32" customFormat="false" ht="15.75" hidden="false" customHeight="false" outlineLevel="0" collapsed="false">
      <c r="B32" s="162"/>
      <c r="C32" s="164"/>
      <c r="D32" s="177" t="s">
        <v>200</v>
      </c>
      <c r="E32" s="196" t="n">
        <f aca="false">E31*2</f>
        <v>17.29</v>
      </c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89" t="n">
        <v>1.51</v>
      </c>
      <c r="T32" s="164"/>
      <c r="U32" s="164"/>
      <c r="V32" s="164"/>
      <c r="W32" s="164"/>
      <c r="X32" s="166"/>
    </row>
    <row r="33" customFormat="false" ht="15.75" hidden="false" customHeight="false" outlineLevel="0" collapsed="false">
      <c r="B33" s="198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200"/>
    </row>
  </sheetData>
  <mergeCells count="5">
    <mergeCell ref="C1:W1"/>
    <mergeCell ref="C3:D3"/>
    <mergeCell ref="F3:G3"/>
    <mergeCell ref="T3:W3"/>
    <mergeCell ref="T10:V10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X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8.57"/>
    <col collapsed="false" customWidth="true" hidden="false" outlineLevel="0" max="2" min="2" style="0" width="3.14"/>
    <col collapsed="false" customWidth="true" hidden="false" outlineLevel="0" max="3" min="3" style="0" width="8.57"/>
    <col collapsed="false" customWidth="true" hidden="false" outlineLevel="0" max="4" min="4" style="0" width="11.14"/>
    <col collapsed="false" customWidth="true" hidden="false" outlineLevel="0" max="5" min="5" style="0" width="8.42"/>
    <col collapsed="false" customWidth="true" hidden="false" outlineLevel="0" max="7" min="6" style="0" width="9.42"/>
    <col collapsed="false" customWidth="true" hidden="false" outlineLevel="0" max="8" min="8" style="0" width="7.42"/>
    <col collapsed="false" customWidth="true" hidden="false" outlineLevel="0" max="12" min="9" style="0" width="8.57"/>
    <col collapsed="false" customWidth="true" hidden="false" outlineLevel="0" max="13" min="13" style="0" width="11.14"/>
    <col collapsed="false" customWidth="true" hidden="false" outlineLevel="0" max="15" min="14" style="0" width="8.57"/>
    <col collapsed="false" customWidth="true" hidden="false" outlineLevel="0" max="16" min="16" style="0" width="3.86"/>
    <col collapsed="false" customWidth="true" hidden="false" outlineLevel="0" max="19" min="17" style="0" width="8.57"/>
    <col collapsed="false" customWidth="true" hidden="false" outlineLevel="0" max="20" min="20" style="0" width="10"/>
    <col collapsed="false" customWidth="true" hidden="false" outlineLevel="0" max="21" min="21" style="0" width="10.99"/>
    <col collapsed="false" customWidth="true" hidden="false" outlineLevel="0" max="22" min="22" style="0" width="9.29"/>
    <col collapsed="false" customWidth="true" hidden="false" outlineLevel="0" max="23" min="23" style="0" width="9.42"/>
    <col collapsed="false" customWidth="true" hidden="false" outlineLevel="0" max="24" min="24" style="0" width="3.14"/>
    <col collapsed="false" customWidth="true" hidden="false" outlineLevel="0" max="1025" min="25" style="0" width="8.57"/>
  </cols>
  <sheetData>
    <row r="1" customFormat="false" ht="36" hidden="false" customHeight="true" outlineLevel="0" collapsed="false">
      <c r="C1" s="157" t="s">
        <v>204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</row>
    <row r="2" customFormat="false" ht="24" hidden="false" customHeight="false" outlineLevel="0" collapsed="false">
      <c r="B2" s="158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60"/>
      <c r="R2" s="160"/>
      <c r="S2" s="159"/>
      <c r="T2" s="159"/>
      <c r="U2" s="159"/>
      <c r="V2" s="159"/>
      <c r="W2" s="159"/>
      <c r="X2" s="161"/>
    </row>
    <row r="3" customFormat="false" ht="15" hidden="false" customHeight="false" outlineLevel="0" collapsed="false">
      <c r="B3" s="162"/>
      <c r="C3" s="163" t="s">
        <v>190</v>
      </c>
      <c r="D3" s="163"/>
      <c r="E3" s="164"/>
      <c r="F3" s="163" t="s">
        <v>191</v>
      </c>
      <c r="G3" s="163"/>
      <c r="H3" s="164"/>
      <c r="I3" s="164"/>
      <c r="J3" s="164"/>
      <c r="K3" s="164"/>
      <c r="L3" s="164"/>
      <c r="M3" s="164"/>
      <c r="N3" s="164"/>
      <c r="O3" s="164"/>
      <c r="P3" s="164"/>
      <c r="S3" s="164"/>
      <c r="T3" s="165" t="s">
        <v>192</v>
      </c>
      <c r="U3" s="165"/>
      <c r="V3" s="165"/>
      <c r="W3" s="165"/>
      <c r="X3" s="166"/>
    </row>
    <row r="4" customFormat="false" ht="15" hidden="false" customHeight="false" outlineLevel="0" collapsed="false">
      <c r="B4" s="162"/>
      <c r="C4" s="167" t="s">
        <v>17</v>
      </c>
      <c r="D4" s="168" t="s">
        <v>76</v>
      </c>
      <c r="F4" s="167" t="s">
        <v>17</v>
      </c>
      <c r="G4" s="168" t="s">
        <v>76</v>
      </c>
      <c r="H4" s="164"/>
      <c r="O4" s="164"/>
      <c r="P4" s="164"/>
      <c r="S4" s="169"/>
      <c r="T4" s="170" t="s">
        <v>193</v>
      </c>
      <c r="U4" s="171" t="s">
        <v>194</v>
      </c>
      <c r="V4" s="171" t="s">
        <v>195</v>
      </c>
      <c r="W4" s="172" t="s">
        <v>76</v>
      </c>
      <c r="X4" s="166"/>
    </row>
    <row r="5" customFormat="false" ht="15" hidden="false" customHeight="false" outlineLevel="0" collapsed="false">
      <c r="B5" s="162"/>
      <c r="C5" s="173" t="s">
        <v>196</v>
      </c>
      <c r="D5" s="201" t="n">
        <v>96.15</v>
      </c>
      <c r="F5" s="173" t="s">
        <v>196</v>
      </c>
      <c r="G5" s="174" t="n">
        <v>113.97</v>
      </c>
      <c r="H5" s="164"/>
      <c r="K5" s="177" t="s">
        <v>197</v>
      </c>
      <c r="L5" s="178" t="n">
        <f aca="false">G9*J12</f>
        <v>14.6233</v>
      </c>
      <c r="O5" s="164"/>
      <c r="P5" s="164"/>
      <c r="Q5" s="177" t="s">
        <v>197</v>
      </c>
      <c r="R5" s="178" t="n">
        <f aca="false">O9*Q12</f>
        <v>7.6586</v>
      </c>
      <c r="S5" s="164"/>
      <c r="T5" s="179" t="n">
        <v>1.6</v>
      </c>
      <c r="U5" s="180" t="n">
        <v>1.2</v>
      </c>
      <c r="V5" s="181" t="n">
        <v>1</v>
      </c>
      <c r="W5" s="182" t="n">
        <f aca="false">V5*T5*U5</f>
        <v>1.92</v>
      </c>
      <c r="X5" s="166"/>
    </row>
    <row r="6" customFormat="false" ht="15" hidden="false" customHeight="false" outlineLevel="0" collapsed="false">
      <c r="B6" s="162"/>
      <c r="C6" s="173" t="s">
        <v>198</v>
      </c>
      <c r="D6" s="174" t="n">
        <f aca="false">D5*2</f>
        <v>192.3</v>
      </c>
      <c r="F6" s="173" t="s">
        <v>198</v>
      </c>
      <c r="G6" s="174" t="n">
        <f aca="false">G5*2</f>
        <v>227.94</v>
      </c>
      <c r="H6" s="164"/>
      <c r="O6" s="164"/>
      <c r="P6" s="164"/>
      <c r="S6" s="164"/>
      <c r="T6" s="179" t="n">
        <v>1.2</v>
      </c>
      <c r="U6" s="180" t="n">
        <v>1.2</v>
      </c>
      <c r="V6" s="183" t="n">
        <v>2</v>
      </c>
      <c r="W6" s="182" t="n">
        <f aca="false">V6*T6*U6</f>
        <v>2.88</v>
      </c>
      <c r="X6" s="166"/>
    </row>
    <row r="7" customFormat="false" ht="15.75" hidden="false" customHeight="false" outlineLevel="0" collapsed="false">
      <c r="B7" s="162"/>
      <c r="C7" s="184" t="s">
        <v>199</v>
      </c>
      <c r="D7" s="185" t="n">
        <f aca="false">D5*2</f>
        <v>192.3</v>
      </c>
      <c r="F7" s="184" t="s">
        <v>199</v>
      </c>
      <c r="G7" s="185" t="n">
        <f aca="false">G5*2</f>
        <v>227.94</v>
      </c>
      <c r="H7" s="164"/>
      <c r="K7" s="164"/>
      <c r="L7" s="164"/>
      <c r="M7" s="164"/>
      <c r="N7" s="164"/>
      <c r="O7" s="164"/>
      <c r="P7" s="164"/>
      <c r="S7" s="164"/>
      <c r="T7" s="179" t="n">
        <v>0.6</v>
      </c>
      <c r="U7" s="180" t="n">
        <v>1.5</v>
      </c>
      <c r="V7" s="183" t="n">
        <v>1</v>
      </c>
      <c r="W7" s="182" t="n">
        <f aca="false">V7*T7*U7</f>
        <v>0.9</v>
      </c>
      <c r="X7" s="166"/>
    </row>
    <row r="8" customFormat="false" ht="15.75" hidden="false" customHeight="false" outlineLevel="0" collapsed="false">
      <c r="B8" s="162"/>
      <c r="C8" s="164"/>
      <c r="D8" s="164"/>
      <c r="K8" s="164"/>
      <c r="L8" s="164"/>
      <c r="M8" s="164"/>
      <c r="N8" s="164"/>
      <c r="O8" s="164"/>
      <c r="P8" s="164"/>
      <c r="S8" s="164"/>
      <c r="T8" s="179" t="n">
        <v>0.6</v>
      </c>
      <c r="U8" s="180" t="n">
        <v>0.6</v>
      </c>
      <c r="V8" s="183" t="n">
        <v>1</v>
      </c>
      <c r="W8" s="182" t="n">
        <f aca="false">V8*T8*U8</f>
        <v>0.36</v>
      </c>
      <c r="X8" s="166"/>
    </row>
    <row r="9" customFormat="false" ht="15.75" hidden="false" customHeight="false" outlineLevel="0" collapsed="false">
      <c r="B9" s="162"/>
      <c r="G9" s="189" t="n">
        <v>2.57</v>
      </c>
      <c r="H9" s="164"/>
      <c r="L9" s="164"/>
      <c r="M9" s="164"/>
      <c r="N9" s="164"/>
      <c r="O9" s="189" t="n">
        <v>2.57</v>
      </c>
      <c r="P9" s="164"/>
      <c r="Q9" s="164"/>
      <c r="R9" s="164"/>
      <c r="S9" s="164"/>
      <c r="T9" s="179" t="n">
        <v>0.8</v>
      </c>
      <c r="U9" s="180" t="n">
        <v>2.1</v>
      </c>
      <c r="V9" s="183" t="n">
        <v>7</v>
      </c>
      <c r="W9" s="182" t="n">
        <f aca="false">V9*T9*U9</f>
        <v>11.76</v>
      </c>
      <c r="X9" s="166"/>
    </row>
    <row r="10" customFormat="false" ht="15.75" hidden="false" customHeight="false" outlineLevel="0" collapsed="false">
      <c r="B10" s="162"/>
      <c r="G10" s="164"/>
      <c r="H10" s="164"/>
      <c r="K10" s="164"/>
      <c r="L10" s="164"/>
      <c r="M10" s="164"/>
      <c r="N10" s="164"/>
      <c r="O10" s="164"/>
      <c r="P10" s="164"/>
      <c r="Q10" s="164"/>
      <c r="R10" s="164"/>
      <c r="S10" s="164"/>
      <c r="T10" s="190" t="s">
        <v>41</v>
      </c>
      <c r="U10" s="190"/>
      <c r="V10" s="190"/>
      <c r="W10" s="191" t="n">
        <f aca="false">SUM(W5:W9)</f>
        <v>17.82</v>
      </c>
      <c r="X10" s="166"/>
    </row>
    <row r="11" customFormat="false" ht="15.75" hidden="false" customHeight="false" outlineLevel="0" collapsed="false">
      <c r="B11" s="162"/>
      <c r="G11" s="164"/>
      <c r="H11" s="164"/>
      <c r="K11" s="164"/>
      <c r="L11" s="164"/>
      <c r="M11" s="164"/>
      <c r="N11" s="164"/>
      <c r="O11" s="164"/>
      <c r="P11" s="164"/>
      <c r="Q11" s="164"/>
      <c r="R11" s="164"/>
      <c r="S11" s="164"/>
      <c r="T11" s="202"/>
      <c r="U11" s="202"/>
      <c r="V11" s="203"/>
      <c r="W11" s="204"/>
      <c r="X11" s="166"/>
    </row>
    <row r="12" customFormat="false" ht="15.75" hidden="false" customHeight="false" outlineLevel="0" collapsed="false">
      <c r="B12" s="162"/>
      <c r="G12" s="164"/>
      <c r="H12" s="164"/>
      <c r="J12" s="197" t="n">
        <v>5.69</v>
      </c>
      <c r="K12" s="164"/>
      <c r="L12" s="164"/>
      <c r="N12" s="164"/>
      <c r="O12" s="164"/>
      <c r="P12" s="164"/>
      <c r="Q12" s="189" t="n">
        <v>2.98</v>
      </c>
      <c r="R12" s="164"/>
      <c r="S12" s="164"/>
      <c r="T12" s="205"/>
      <c r="U12" s="205"/>
      <c r="V12" s="205"/>
      <c r="W12" s="206"/>
      <c r="X12" s="166"/>
    </row>
    <row r="13" customFormat="false" ht="15" hidden="false" customHeight="false" outlineLevel="0" collapsed="false">
      <c r="B13" s="162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6"/>
    </row>
    <row r="14" customFormat="false" ht="15" hidden="false" customHeight="false" outlineLevel="0" collapsed="false">
      <c r="B14" s="162"/>
      <c r="C14" s="164"/>
      <c r="D14" s="194" t="s">
        <v>197</v>
      </c>
      <c r="E14" s="195" t="n">
        <f aca="false">C18*E22</f>
        <v>15.163</v>
      </c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X14" s="166"/>
    </row>
    <row r="15" customFormat="false" ht="15" hidden="false" customHeight="false" outlineLevel="0" collapsed="false">
      <c r="B15" s="162"/>
      <c r="C15" s="164"/>
      <c r="D15" s="177" t="s">
        <v>205</v>
      </c>
      <c r="E15" s="196" t="n">
        <f aca="false">E14*3</f>
        <v>45.489</v>
      </c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X15" s="166"/>
    </row>
    <row r="16" customFormat="false" ht="15" hidden="false" customHeight="false" outlineLevel="0" collapsed="false">
      <c r="B16" s="162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X16" s="166"/>
    </row>
    <row r="17" customFormat="false" ht="15.75" hidden="false" customHeight="false" outlineLevel="0" collapsed="false">
      <c r="B17" s="162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6"/>
    </row>
    <row r="18" customFormat="false" ht="15.75" hidden="false" customHeight="false" outlineLevel="0" collapsed="false">
      <c r="B18" s="162"/>
      <c r="C18" s="189" t="n">
        <v>2.57</v>
      </c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89" t="n">
        <v>1.05</v>
      </c>
      <c r="W18" s="164"/>
      <c r="X18" s="166"/>
    </row>
    <row r="19" customFormat="false" ht="15" hidden="false" customHeight="false" outlineLevel="0" collapsed="false">
      <c r="B19" s="162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6"/>
    </row>
    <row r="20" customFormat="false" ht="15.75" hidden="false" customHeight="false" outlineLevel="0" collapsed="false">
      <c r="B20" s="162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6"/>
    </row>
    <row r="21" customFormat="false" ht="15.75" hidden="false" customHeight="false" outlineLevel="0" collapsed="false">
      <c r="B21" s="162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89" t="n">
        <v>2.57</v>
      </c>
      <c r="R21" s="164"/>
      <c r="S21" s="164"/>
      <c r="T21" s="164"/>
      <c r="U21" s="164"/>
      <c r="V21" s="194" t="s">
        <v>201</v>
      </c>
      <c r="W21" s="195" t="n">
        <f aca="false">(V18*S25)/2</f>
        <v>3.45975</v>
      </c>
      <c r="X21" s="166"/>
    </row>
    <row r="22" customFormat="false" ht="15.75" hidden="false" customHeight="false" outlineLevel="0" collapsed="false">
      <c r="B22" s="162"/>
      <c r="C22" s="164"/>
      <c r="D22" s="164"/>
      <c r="E22" s="197" t="n">
        <v>5.9</v>
      </c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94" t="s">
        <v>197</v>
      </c>
      <c r="W22" s="195" t="n">
        <f aca="false">S25*Q21</f>
        <v>16.9363</v>
      </c>
      <c r="X22" s="166"/>
    </row>
    <row r="23" customFormat="false" ht="15" hidden="false" customHeight="false" outlineLevel="0" collapsed="false">
      <c r="B23" s="162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94" t="s">
        <v>202</v>
      </c>
      <c r="W23" s="195" t="n">
        <f aca="false">SUM(W21:W22)</f>
        <v>20.39605</v>
      </c>
      <c r="X23" s="166"/>
    </row>
    <row r="24" customFormat="false" ht="15.75" hidden="false" customHeight="false" outlineLevel="0" collapsed="false">
      <c r="B24" s="162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77" t="s">
        <v>203</v>
      </c>
      <c r="W24" s="196" t="n">
        <f aca="false">W23*2</f>
        <v>40.7921</v>
      </c>
      <c r="X24" s="166"/>
    </row>
    <row r="25" customFormat="false" ht="15.75" hidden="false" customHeight="false" outlineLevel="0" collapsed="false">
      <c r="B25" s="162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89" t="n">
        <v>6.59</v>
      </c>
      <c r="T25" s="164"/>
      <c r="U25" s="164"/>
      <c r="V25" s="164"/>
      <c r="W25" s="164"/>
      <c r="X25" s="166"/>
    </row>
    <row r="26" customFormat="false" ht="15.75" hidden="false" customHeight="false" outlineLevel="0" collapsed="false">
      <c r="B26" s="162"/>
      <c r="C26" s="189" t="n">
        <v>2.47</v>
      </c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W26" s="164"/>
      <c r="X26" s="166"/>
    </row>
    <row r="27" customFormat="false" ht="15.75" hidden="false" customHeight="false" outlineLevel="0" collapsed="false">
      <c r="B27" s="162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6"/>
    </row>
    <row r="28" customFormat="false" ht="15.75" hidden="false" customHeight="false" outlineLevel="0" collapsed="false">
      <c r="B28" s="162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89" t="n">
        <v>2.47</v>
      </c>
      <c r="S28" s="164"/>
      <c r="T28" s="164"/>
      <c r="U28" s="177" t="s">
        <v>197</v>
      </c>
      <c r="V28" s="178" t="n">
        <f aca="false">R28*S32</f>
        <v>3.5815</v>
      </c>
      <c r="W28" s="164"/>
      <c r="X28" s="166"/>
    </row>
    <row r="29" customFormat="false" ht="15.75" hidden="false" customHeight="false" outlineLevel="0" collapsed="false">
      <c r="B29" s="162"/>
      <c r="C29" s="164"/>
      <c r="D29" s="164"/>
      <c r="E29" s="189" t="n">
        <v>3.44</v>
      </c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6"/>
    </row>
    <row r="30" customFormat="false" ht="15" hidden="false" customHeight="false" outlineLevel="0" collapsed="false">
      <c r="B30" s="162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6"/>
    </row>
    <row r="31" customFormat="false" ht="15.75" hidden="false" customHeight="false" outlineLevel="0" collapsed="false">
      <c r="B31" s="162"/>
      <c r="C31" s="164"/>
      <c r="D31" s="194" t="s">
        <v>197</v>
      </c>
      <c r="E31" s="195" t="n">
        <f aca="false">E29*C26</f>
        <v>8.4968</v>
      </c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6"/>
    </row>
    <row r="32" customFormat="false" ht="15.75" hidden="false" customHeight="false" outlineLevel="0" collapsed="false">
      <c r="B32" s="162"/>
      <c r="C32" s="164"/>
      <c r="D32" s="177" t="s">
        <v>200</v>
      </c>
      <c r="E32" s="196" t="n">
        <f aca="false">E31*2</f>
        <v>16.9936</v>
      </c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89" t="n">
        <v>1.45</v>
      </c>
      <c r="T32" s="164"/>
      <c r="U32" s="164"/>
      <c r="V32" s="164"/>
      <c r="W32" s="164"/>
      <c r="X32" s="166"/>
    </row>
    <row r="33" customFormat="false" ht="15.75" hidden="false" customHeight="false" outlineLevel="0" collapsed="false">
      <c r="B33" s="198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200"/>
    </row>
  </sheetData>
  <mergeCells count="5">
    <mergeCell ref="C1:W1"/>
    <mergeCell ref="C3:D3"/>
    <mergeCell ref="F3:G3"/>
    <mergeCell ref="T3:W3"/>
    <mergeCell ref="T10:V10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LibreOffice/6.0.7.3$Linux_X86_64 LibreOffice_project/00m0$Build-3</Application>
  <Company>Microsoft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2013-04-03T11:51:12Z</dcterms:created>
  <dc:creator>B</dc:creator>
  <dc:description/>
  <dc:language>pt-BR</dc:language>
  <cp:lastModifiedBy/>
  <cp:lastPrinted>2013-04-10T21:03:03Z</cp:lastPrinted>
  <dcterms:modified xsi:type="dcterms:W3CDTF">2019-12-04T07:24:36Z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